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9615" windowHeight="7080" tabRatio="964"/>
  </bookViews>
  <sheets>
    <sheet name="KLSE Income statements" sheetId="10" r:id="rId1"/>
    <sheet name="KLSE Balance Sheet" sheetId="11" r:id="rId2"/>
    <sheet name="KLSE-changes in equity" sheetId="12" r:id="rId3"/>
    <sheet name="KLSE cashflow" sheetId="13" r:id="rId4"/>
    <sheet name="ESOS movement" sheetId="17" state="hidden" r:id="rId5"/>
    <sheet name="coated scrap sale" sheetId="26" state="hidden" r:id="rId6"/>
    <sheet name="Cont&amp;disconOp2003" sheetId="27" state="hidden" r:id="rId7"/>
    <sheet name="Disc ope " sheetId="25" state="hidden" r:id="rId8"/>
    <sheet name="CashFlow workingsDec 03" sheetId="18" state="hidden" r:id="rId9"/>
    <sheet name="ANRE0610" sheetId="28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#N/A</definedName>
    <definedName name="\PMT">#REF!</definedName>
    <definedName name="\r">#REF!</definedName>
    <definedName name="\t">#N/A</definedName>
    <definedName name="\v">#REF!</definedName>
    <definedName name="\w">#REF!</definedName>
    <definedName name="__123Graph_D" hidden="1">[1]analysis_alcom!#REF!</definedName>
    <definedName name="_1">#REF!</definedName>
    <definedName name="_123">#REF!</definedName>
    <definedName name="_EST1">#REF!</definedName>
    <definedName name="_EST2">#REF!</definedName>
    <definedName name="_EST3">#REF!</definedName>
    <definedName name="_Fill" hidden="1">#REF!</definedName>
    <definedName name="_JV12">'[4]Disposal - apr00'!#REF!</definedName>
    <definedName name="_JV25">#REF!</definedName>
    <definedName name="_JV26">#REF!</definedName>
    <definedName name="_JV31">#REF!</definedName>
    <definedName name="_JV33">#REF!</definedName>
    <definedName name="_JV34">#REF!</definedName>
    <definedName name="_JV35">#REF!</definedName>
    <definedName name="_JV36">#REF!</definedName>
    <definedName name="_JV4">'[4]Disposal - apr00'!#REF!</definedName>
    <definedName name="_JV40">#REF!</definedName>
    <definedName name="_JV401">#REF!</definedName>
    <definedName name="_JV41">#REF!</definedName>
    <definedName name="_JV411">#REF!</definedName>
    <definedName name="_JV42">#REF!</definedName>
    <definedName name="_JV421">#REF!</definedName>
    <definedName name="_JV43">#REF!</definedName>
    <definedName name="_JV431">#REF!</definedName>
    <definedName name="_JV44">#REF!</definedName>
    <definedName name="_JV441">#REF!</definedName>
    <definedName name="_JV5">'[4]Disposal - apr00'!#REF!</definedName>
    <definedName name="_JV6">'[4]Disposal - apr00'!#REF!</definedName>
    <definedName name="_Key1" hidden="1">#REF!</definedName>
    <definedName name="_Key2" hidden="1">#REF!</definedName>
    <definedName name="_mgt11">'[5]RCMI-15'!$A$1:$J$54</definedName>
    <definedName name="_Order1" hidden="1">255</definedName>
    <definedName name="_Order2" hidden="1">255</definedName>
    <definedName name="_PUR1">#REF!</definedName>
    <definedName name="_Regression_Int">1</definedName>
    <definedName name="_ROW1">#N/A</definedName>
    <definedName name="_SF96">#REF!</definedName>
    <definedName name="_SF97">#REF!</definedName>
    <definedName name="_SF98">#REF!</definedName>
    <definedName name="_Sort" hidden="1">#REF!</definedName>
    <definedName name="_spc1">'[7]Contr.,Time Delivery,Cus.Return'!$A$1:$K$97</definedName>
    <definedName name="_WP1">#REF!</definedName>
    <definedName name="_WP2">#REF!</definedName>
    <definedName name="A">#N/A</definedName>
    <definedName name="A_C1065">#N/A</definedName>
    <definedName name="A_C10651">'[2]asset addition 2000'!#REF!</definedName>
    <definedName name="AG">#REF!</definedName>
    <definedName name="B">#N/A</definedName>
    <definedName name="BALSHT">#N/A</definedName>
    <definedName name="BALSHT1">#N/A</definedName>
    <definedName name="body">#REF!</definedName>
    <definedName name="Breakeven">#REF!</definedName>
    <definedName name="BS">#REF!</definedName>
    <definedName name="C_">#N/A</definedName>
    <definedName name="CASGRAPH">'[3]PMR7&amp;8(W)'!#REF!</definedName>
    <definedName name="CASTER">#REF!</definedName>
    <definedName name="cb">#REF!</definedName>
    <definedName name="centre">#REF!</definedName>
    <definedName name="CL">#REF!</definedName>
    <definedName name="CM">#REF!</definedName>
    <definedName name="CO">#REF!</definedName>
    <definedName name="COATING">#REF!</definedName>
    <definedName name="COATINGS">#REF!</definedName>
    <definedName name="COGS">#REF!</definedName>
    <definedName name="COGS1">#REF!</definedName>
    <definedName name="COGS2">#REF!</definedName>
    <definedName name="COLDMILL">#REF!</definedName>
    <definedName name="COLDMILLS">#REF!</definedName>
    <definedName name="CONTR">#N/A</definedName>
    <definedName name="COSTSHEET">#REF!</definedName>
    <definedName name="COVER">#REF!</definedName>
    <definedName name="CS">#REF!</definedName>
    <definedName name="data">#REF!</definedName>
    <definedName name="_xlnm.Database">#REF!</definedName>
    <definedName name="date">#REF!</definedName>
    <definedName name="dccs">#REF!</definedName>
    <definedName name="DE">#REF!</definedName>
    <definedName name="Direct">#REF!</definedName>
    <definedName name="DISPOSAL">#N/A</definedName>
    <definedName name="DL">#REF!</definedName>
    <definedName name="DUTY">'[4]Disposal - apr00'!#REF!</definedName>
    <definedName name="END">#REF!</definedName>
    <definedName name="EST">#REF!</definedName>
    <definedName name="ETP">#REF!</definedName>
    <definedName name="EVA">#REF!</definedName>
    <definedName name="expenses">#REF!</definedName>
    <definedName name="EXPSHT">#REF!</definedName>
    <definedName name="_xlnm.Extract">#REF!</definedName>
    <definedName name="Extract_MI">#REF!</definedName>
    <definedName name="FF">#REF!</definedName>
    <definedName name="FirstDies">#REF!</definedName>
    <definedName name="FMA">#REF!</definedName>
    <definedName name="FMB">#REF!</definedName>
    <definedName name="FORM">#N/A</definedName>
    <definedName name="FORMAT">#REF!</definedName>
    <definedName name="Freight">#REF!</definedName>
    <definedName name="FX">#REF!</definedName>
    <definedName name="HOUR">#REF!</definedName>
    <definedName name="hrs">#REF!</definedName>
    <definedName name="INGBAL">#REF!</definedName>
    <definedName name="INGOT">#REF!</definedName>
    <definedName name="INGOT1">#REF!</definedName>
    <definedName name="inv">#REF!</definedName>
    <definedName name="jv">#REF!</definedName>
    <definedName name="metal">#REF!</definedName>
    <definedName name="METALPLAN">#REF!</definedName>
    <definedName name="MONTH">#N/A</definedName>
    <definedName name="MRR">#REF!</definedName>
    <definedName name="MT">#N/A</definedName>
    <definedName name="MYR">#N/A</definedName>
    <definedName name="Nebit">#REF!</definedName>
    <definedName name="NLM">#REF!</definedName>
    <definedName name="NonOp">#REF!</definedName>
    <definedName name="OCT">#N/A</definedName>
    <definedName name="PE">#REF!</definedName>
    <definedName name="PER">#N/A</definedName>
    <definedName name="Period">#REF!</definedName>
    <definedName name="PMT">#N/A</definedName>
    <definedName name="PP">#REF!</definedName>
    <definedName name="PPT">#N/A</definedName>
    <definedName name="PRICE">#N/A</definedName>
    <definedName name="_xlnm.Print_Area" localSheetId="9">ANRE0610!$A$22:$G$40</definedName>
    <definedName name="_xlnm.Print_Area" localSheetId="8">'CashFlow workingsDec 03'!$A$1:$S$54</definedName>
    <definedName name="_xlnm.Print_Area" localSheetId="5">'coated scrap sale'!$A$2:$I$13</definedName>
    <definedName name="_xlnm.Print_Area" localSheetId="6">'Cont&amp;disconOp2003'!$A$1:$AJ$75</definedName>
    <definedName name="_xlnm.Print_Area" localSheetId="7">'Disc ope '!$A$1:$AI$65</definedName>
    <definedName name="_xlnm.Print_Area" localSheetId="1">'KLSE Balance Sheet'!$A$1:$D$51</definedName>
    <definedName name="_xlnm.Print_Area" localSheetId="3">'KLSE cashflow'!$A$1:$D$46</definedName>
    <definedName name="_xlnm.Print_Area" localSheetId="0">'KLSE Income statements'!$A$1:$G$48</definedName>
    <definedName name="_xlnm.Print_Area" localSheetId="2">'KLSE-changes in equity'!$A$1:$J$43</definedName>
    <definedName name="_xlnm.Print_Area">#N/A</definedName>
    <definedName name="Print_Area_MI" localSheetId="9">ANRE0610!$A$1:$J$41</definedName>
    <definedName name="Print_Area_MI">#REF!</definedName>
    <definedName name="_xlnm.Print_Titles" localSheetId="0">'KLSE Income statements'!$A:$A</definedName>
    <definedName name="_xlnm.Print_Titles">#N/A</definedName>
    <definedName name="Print_Titles_MI">#REF!</definedName>
    <definedName name="PROD">#REF!</definedName>
    <definedName name="PUR">#REF!</definedName>
    <definedName name="purchases">#REF!</definedName>
    <definedName name="RECEIVED">#REF!</definedName>
    <definedName name="recovery">#REF!</definedName>
    <definedName name="Remelt">#REF!</definedName>
    <definedName name="REPORT">#N/A</definedName>
    <definedName name="REPORT1">#REF!</definedName>
    <definedName name="REPORT2">#REF!</definedName>
    <definedName name="RETURN">#N/A</definedName>
    <definedName name="Revenue">#REF!</definedName>
    <definedName name="REVPMT">#N/A</definedName>
    <definedName name="RM">#REF!</definedName>
    <definedName name="ROLLING">#REF!</definedName>
    <definedName name="ROW">#REF!</definedName>
    <definedName name="SAE">#REF!</definedName>
    <definedName name="SALE">#REF!</definedName>
    <definedName name="salemt">'[6]fg-17'!$B$59:$AI$112</definedName>
    <definedName name="salerm">'[6]fg-17'!$B$4:$AI$56</definedName>
    <definedName name="SALES">#REF!</definedName>
    <definedName name="SAMPLES">#N/A</definedName>
    <definedName name="SD">#REF!</definedName>
    <definedName name="SE">#REF!</definedName>
    <definedName name="SF">#REF!</definedName>
    <definedName name="SHIPVSC.B.">#REF!</definedName>
    <definedName name="SHIPVSPLAN">#REF!</definedName>
    <definedName name="SM">#REF!</definedName>
    <definedName name="SNOTE">#N/A</definedName>
    <definedName name="SNOTE1">#N/A</definedName>
    <definedName name="spc">#REF!</definedName>
    <definedName name="SUMMARY">#N/A</definedName>
    <definedName name="SWK">#N/A</definedName>
    <definedName name="SWKG">#N/A</definedName>
    <definedName name="SWKG1">#N/A</definedName>
    <definedName name="Technical">#REF!</definedName>
    <definedName name="top">#REF!</definedName>
    <definedName name="UFS">#N/A</definedName>
    <definedName name="VOLUME">#N/A</definedName>
    <definedName name="W">#REF!</definedName>
    <definedName name="wk">#REF!</definedName>
    <definedName name="WKG">#N/A</definedName>
    <definedName name="WORKING">#REF!</definedName>
    <definedName name="WORKING1">#REF!</definedName>
    <definedName name="WORKING2">#REF!</definedName>
    <definedName name="WORKING3">#REF!</definedName>
    <definedName name="WP">#REF!</definedName>
    <definedName name="WPB">#REF!</definedName>
    <definedName name="wrn.Estimate." hidden="1">{#N/A,#N/A,FALSE,"This month";#N/A,#N/A,FALSE,"Next month";#N/A,#N/A,FALSE,"Mth after next"}</definedName>
    <definedName name="wrn.Financial." hidden="1">{#N/A,#N/A,FALSE,"P&amp;L-Actual";#N/A,#N/A,FALSE,"Balsheet";#N/A,#N/A,FALSE,"Cash flow"}</definedName>
    <definedName name="wrn.sales." hidden="1">{#N/A,#N/A,FALSE,"sal-jan";#N/A,#N/A,FALSE,"sal-feb";#N/A,#N/A,FALSE,"sal-mar";#N/A,#N/A,FALSE,"sal-apr";#N/A,#N/A,FALSE,"sal-may";#N/A,#N/A,FALSE,"sal-jun";#N/A,#N/A,FALSE,"sal-jul";#N/A,#N/A,FALSE,"sal-aug";#N/A,#N/A,FALSE,"sal-sep";#N/A,#N/A,FALSE,"sal-oct";#N/A,#N/A,FALSE,"sal-nov";#N/A,#N/A,FALSE,"sal-dec";#N/A,#N/A,FALSE,"full year"}</definedName>
    <definedName name="내역">#REF!</definedName>
    <definedName name="박">#REF!</definedName>
  </definedNames>
  <calcPr calcId="125725"/>
</workbook>
</file>

<file path=xl/calcChain.xml><?xml version="1.0" encoding="utf-8"?>
<calcChain xmlns="http://schemas.openxmlformats.org/spreadsheetml/2006/main">
  <c r="L18" i="28"/>
  <c r="J18"/>
  <c r="I18"/>
  <c r="H18"/>
  <c r="G18"/>
  <c r="E18"/>
  <c r="D18"/>
  <c r="C18"/>
  <c r="B18"/>
  <c r="J12"/>
  <c r="E12"/>
  <c r="L10"/>
  <c r="L9"/>
  <c r="E102" i="17"/>
  <c r="G102"/>
  <c r="E101"/>
  <c r="F101"/>
  <c r="E99"/>
  <c r="G99" s="1"/>
  <c r="E98"/>
  <c r="F98" s="1"/>
  <c r="E96"/>
  <c r="G96" s="1"/>
  <c r="E95"/>
  <c r="F95" s="1"/>
  <c r="E93"/>
  <c r="G93" s="1"/>
  <c r="E92"/>
  <c r="F92" s="1"/>
  <c r="AR9" i="26"/>
  <c r="AR7"/>
  <c r="E90" i="17"/>
  <c r="G90" s="1"/>
  <c r="G8"/>
  <c r="G12"/>
  <c r="E15"/>
  <c r="G15" s="1"/>
  <c r="E18"/>
  <c r="G18" s="1"/>
  <c r="E21"/>
  <c r="G21" s="1"/>
  <c r="E24"/>
  <c r="G24" s="1"/>
  <c r="E27"/>
  <c r="G27" s="1"/>
  <c r="E30"/>
  <c r="G30" s="1"/>
  <c r="E33"/>
  <c r="G33" s="1"/>
  <c r="E36"/>
  <c r="G36" s="1"/>
  <c r="E39"/>
  <c r="G39" s="1"/>
  <c r="E42"/>
  <c r="G42" s="1"/>
  <c r="E45"/>
  <c r="G45" s="1"/>
  <c r="E48"/>
  <c r="G48" s="1"/>
  <c r="E51"/>
  <c r="G51" s="1"/>
  <c r="E54"/>
  <c r="G54" s="1"/>
  <c r="E57"/>
  <c r="G57" s="1"/>
  <c r="E60"/>
  <c r="G60" s="1"/>
  <c r="E63"/>
  <c r="G63" s="1"/>
  <c r="E66"/>
  <c r="G66" s="1"/>
  <c r="E69"/>
  <c r="G69" s="1"/>
  <c r="E72"/>
  <c r="G72" s="1"/>
  <c r="E75"/>
  <c r="G75" s="1"/>
  <c r="E78"/>
  <c r="G78" s="1"/>
  <c r="E81"/>
  <c r="G81" s="1"/>
  <c r="E84"/>
  <c r="G84" s="1"/>
  <c r="E87"/>
  <c r="G87" s="1"/>
  <c r="E89"/>
  <c r="F89" s="1"/>
  <c r="E14"/>
  <c r="F14" s="1"/>
  <c r="E17"/>
  <c r="F17" s="1"/>
  <c r="E20"/>
  <c r="F20" s="1"/>
  <c r="E23"/>
  <c r="F23" s="1"/>
  <c r="E26"/>
  <c r="F26" s="1"/>
  <c r="E29"/>
  <c r="F29" s="1"/>
  <c r="E32"/>
  <c r="F32" s="1"/>
  <c r="E35"/>
  <c r="F35" s="1"/>
  <c r="E38"/>
  <c r="F38" s="1"/>
  <c r="E41"/>
  <c r="F41" s="1"/>
  <c r="E44"/>
  <c r="F44" s="1"/>
  <c r="E47"/>
  <c r="F47" s="1"/>
  <c r="E50"/>
  <c r="F50" s="1"/>
  <c r="E53"/>
  <c r="F53" s="1"/>
  <c r="E56"/>
  <c r="F56" s="1"/>
  <c r="E59"/>
  <c r="F59" s="1"/>
  <c r="E62"/>
  <c r="F62" s="1"/>
  <c r="E65"/>
  <c r="F65" s="1"/>
  <c r="E68"/>
  <c r="F68" s="1"/>
  <c r="E71"/>
  <c r="F71" s="1"/>
  <c r="E74"/>
  <c r="F74" s="1"/>
  <c r="E77"/>
  <c r="F77" s="1"/>
  <c r="E80"/>
  <c r="F80" s="1"/>
  <c r="E83"/>
  <c r="F83" s="1"/>
  <c r="E86"/>
  <c r="F86" s="1"/>
  <c r="C13"/>
  <c r="C16" s="1"/>
  <c r="C19" s="1"/>
  <c r="C22" s="1"/>
  <c r="C25" s="1"/>
  <c r="C28" s="1"/>
  <c r="B9"/>
  <c r="B13" s="1"/>
  <c r="B16" s="1"/>
  <c r="B19" s="1"/>
  <c r="B22" s="1"/>
  <c r="B25" s="1"/>
  <c r="B28" s="1"/>
  <c r="B31" s="1"/>
  <c r="B34" s="1"/>
  <c r="B37" s="1"/>
  <c r="B40" s="1"/>
  <c r="B43" s="1"/>
  <c r="B46" s="1"/>
  <c r="B49" s="1"/>
  <c r="B52" s="1"/>
  <c r="B55" s="1"/>
  <c r="B58" s="1"/>
  <c r="B61" s="1"/>
  <c r="B64" s="1"/>
  <c r="B67" s="1"/>
  <c r="B70" s="1"/>
  <c r="B73" s="1"/>
  <c r="B76" s="1"/>
  <c r="B79" s="1"/>
  <c r="B82" s="1"/>
  <c r="B85" s="1"/>
  <c r="B88" s="1"/>
  <c r="B91" s="1"/>
  <c r="B94" s="1"/>
  <c r="B97" s="1"/>
  <c r="B100" s="1"/>
  <c r="B103" s="1"/>
  <c r="AL9" i="26"/>
  <c r="AL7"/>
  <c r="AB9"/>
  <c r="AB7"/>
  <c r="E7" i="17"/>
  <c r="E8"/>
  <c r="E9"/>
  <c r="E13" s="1"/>
  <c r="E16" s="1"/>
  <c r="E19" s="1"/>
  <c r="E22" s="1"/>
  <c r="E25" s="1"/>
  <c r="E10"/>
  <c r="E11"/>
  <c r="E12"/>
  <c r="H16"/>
  <c r="AD9" i="26"/>
  <c r="AD7"/>
  <c r="W9"/>
  <c r="V9"/>
  <c r="U9"/>
  <c r="X9"/>
  <c r="X7"/>
  <c r="G9" i="18"/>
  <c r="G12"/>
  <c r="S35" s="1"/>
  <c r="C22"/>
  <c r="F22" s="1"/>
  <c r="D35"/>
  <c r="D44"/>
  <c r="D45"/>
  <c r="D47" s="1"/>
  <c r="C34"/>
  <c r="F34" s="1"/>
  <c r="S20"/>
  <c r="S26"/>
  <c r="H12"/>
  <c r="I12"/>
  <c r="J12"/>
  <c r="K12"/>
  <c r="L12"/>
  <c r="S33"/>
  <c r="M12"/>
  <c r="N12"/>
  <c r="O11"/>
  <c r="O9"/>
  <c r="O10"/>
  <c r="O12" s="1"/>
  <c r="P11"/>
  <c r="P10"/>
  <c r="P9"/>
  <c r="P12" s="1"/>
  <c r="S15"/>
  <c r="D14"/>
  <c r="D19"/>
  <c r="D25"/>
  <c r="D27"/>
  <c r="D33"/>
  <c r="D37"/>
  <c r="D48" s="1"/>
  <c r="S16"/>
  <c r="F32"/>
  <c r="S48"/>
  <c r="S27"/>
  <c r="S44"/>
  <c r="P45"/>
  <c r="F43"/>
  <c r="S52"/>
  <c r="F39"/>
  <c r="C33"/>
  <c r="F31"/>
  <c r="F33" s="1"/>
  <c r="S19"/>
  <c r="N36"/>
  <c r="O34"/>
  <c r="F46"/>
  <c r="S14"/>
  <c r="C35"/>
  <c r="F35" s="1"/>
  <c r="C12"/>
  <c r="F12"/>
  <c r="F14" s="1"/>
  <c r="C16"/>
  <c r="F16" s="1"/>
  <c r="C17"/>
  <c r="F17" s="1"/>
  <c r="C44"/>
  <c r="C45" s="1"/>
  <c r="C47" s="1"/>
  <c r="O7" i="26"/>
  <c r="P9"/>
  <c r="P7"/>
  <c r="O9"/>
  <c r="N7"/>
  <c r="R7"/>
  <c r="N9"/>
  <c r="R9"/>
  <c r="J9"/>
  <c r="L9"/>
  <c r="L7"/>
  <c r="F9"/>
  <c r="F7"/>
  <c r="AI75" i="27"/>
  <c r="AG75"/>
  <c r="AE75"/>
  <c r="G62"/>
  <c r="N62"/>
  <c r="AI62" s="1"/>
  <c r="U62"/>
  <c r="Q62" s="1"/>
  <c r="Q66" s="1"/>
  <c r="AB62"/>
  <c r="G63"/>
  <c r="N63"/>
  <c r="U63"/>
  <c r="AB63"/>
  <c r="AI63"/>
  <c r="AI64"/>
  <c r="U65"/>
  <c r="AI65" s="1"/>
  <c r="U67"/>
  <c r="AI67" s="1"/>
  <c r="U69"/>
  <c r="AI69" s="1"/>
  <c r="U71"/>
  <c r="AI71" s="1"/>
  <c r="S62"/>
  <c r="Z62"/>
  <c r="AG62"/>
  <c r="S63"/>
  <c r="AG63" s="1"/>
  <c r="AG64"/>
  <c r="AG65"/>
  <c r="S67"/>
  <c r="AG67" s="1"/>
  <c r="AG69"/>
  <c r="AG71"/>
  <c r="C62"/>
  <c r="X62"/>
  <c r="X66"/>
  <c r="X68" s="1"/>
  <c r="X70" s="1"/>
  <c r="X72" s="1"/>
  <c r="C63"/>
  <c r="J63"/>
  <c r="Q63"/>
  <c r="X63"/>
  <c r="AE63"/>
  <c r="C64"/>
  <c r="J64"/>
  <c r="AE64" s="1"/>
  <c r="Q64"/>
  <c r="X64"/>
  <c r="C65"/>
  <c r="J65"/>
  <c r="Q65"/>
  <c r="X65"/>
  <c r="AE65"/>
  <c r="J67"/>
  <c r="X67"/>
  <c r="J69"/>
  <c r="Q69"/>
  <c r="X69"/>
  <c r="AE69"/>
  <c r="J71"/>
  <c r="Q71"/>
  <c r="X71"/>
  <c r="AE71" s="1"/>
  <c r="AB66"/>
  <c r="AB68"/>
  <c r="AB70" s="1"/>
  <c r="AB72" s="1"/>
  <c r="Z66"/>
  <c r="Z68"/>
  <c r="Z70" s="1"/>
  <c r="Z72" s="1"/>
  <c r="U66"/>
  <c r="U68"/>
  <c r="U70" s="1"/>
  <c r="U72" s="1"/>
  <c r="S66"/>
  <c r="S68"/>
  <c r="S70" s="1"/>
  <c r="S72" s="1"/>
  <c r="N66"/>
  <c r="N68"/>
  <c r="N70" s="1"/>
  <c r="N72" s="1"/>
  <c r="L66"/>
  <c r="L68"/>
  <c r="L70" s="1"/>
  <c r="L72" s="1"/>
  <c r="G66"/>
  <c r="G68"/>
  <c r="G70" s="1"/>
  <c r="G72" s="1"/>
  <c r="E66"/>
  <c r="E68"/>
  <c r="E70" s="1"/>
  <c r="E72" s="1"/>
  <c r="C66"/>
  <c r="C68"/>
  <c r="C70" s="1"/>
  <c r="C72" s="1"/>
  <c r="AL63"/>
  <c r="AI61"/>
  <c r="AG61"/>
  <c r="J61"/>
  <c r="AE61" s="1"/>
  <c r="Q61"/>
  <c r="X61"/>
  <c r="U60"/>
  <c r="AI60" s="1"/>
  <c r="S60"/>
  <c r="AG60" s="1"/>
  <c r="J60"/>
  <c r="X60"/>
  <c r="AI23"/>
  <c r="AG23"/>
  <c r="AE23"/>
  <c r="G10"/>
  <c r="N10"/>
  <c r="AI10" s="1"/>
  <c r="AL10" s="1"/>
  <c r="U10"/>
  <c r="AB10"/>
  <c r="G11"/>
  <c r="C11" s="1"/>
  <c r="C14" s="1"/>
  <c r="C16" s="1"/>
  <c r="C18" s="1"/>
  <c r="C20" s="1"/>
  <c r="N11"/>
  <c r="U11"/>
  <c r="AI11" s="1"/>
  <c r="AL11" s="1"/>
  <c r="AB11"/>
  <c r="AI12"/>
  <c r="U13"/>
  <c r="AI13"/>
  <c r="U15"/>
  <c r="AI15"/>
  <c r="U17"/>
  <c r="AI17"/>
  <c r="U19"/>
  <c r="AI19"/>
  <c r="S10"/>
  <c r="Z10"/>
  <c r="AG10" s="1"/>
  <c r="AG14" s="1"/>
  <c r="S11"/>
  <c r="AG11" s="1"/>
  <c r="AG12"/>
  <c r="AG13"/>
  <c r="S15"/>
  <c r="AG15" s="1"/>
  <c r="AG17"/>
  <c r="AG19"/>
  <c r="C10"/>
  <c r="Q10"/>
  <c r="J11"/>
  <c r="X11"/>
  <c r="C12"/>
  <c r="J12"/>
  <c r="Q12"/>
  <c r="X12"/>
  <c r="AE12"/>
  <c r="C13"/>
  <c r="J13"/>
  <c r="AE13" s="1"/>
  <c r="Q13"/>
  <c r="X13"/>
  <c r="J15"/>
  <c r="X15"/>
  <c r="J17"/>
  <c r="AE17" s="1"/>
  <c r="Q17"/>
  <c r="X17"/>
  <c r="J19"/>
  <c r="AE19" s="1"/>
  <c r="Q19"/>
  <c r="X19"/>
  <c r="AB14"/>
  <c r="AB16" s="1"/>
  <c r="AB18" s="1"/>
  <c r="AB20" s="1"/>
  <c r="Z14"/>
  <c r="Z16" s="1"/>
  <c r="Z18" s="1"/>
  <c r="Z20" s="1"/>
  <c r="U14"/>
  <c r="U16" s="1"/>
  <c r="U18" s="1"/>
  <c r="U20" s="1"/>
  <c r="S14"/>
  <c r="S16" s="1"/>
  <c r="S18" s="1"/>
  <c r="S20" s="1"/>
  <c r="N14"/>
  <c r="N16" s="1"/>
  <c r="N18" s="1"/>
  <c r="N20" s="1"/>
  <c r="L14"/>
  <c r="L16" s="1"/>
  <c r="L18" s="1"/>
  <c r="L20" s="1"/>
  <c r="G14"/>
  <c r="G16" s="1"/>
  <c r="G18" s="1"/>
  <c r="G20" s="1"/>
  <c r="E14"/>
  <c r="E16" s="1"/>
  <c r="E18" s="1"/>
  <c r="E20" s="1"/>
  <c r="AI9"/>
  <c r="AG9"/>
  <c r="J9"/>
  <c r="Q9"/>
  <c r="X9"/>
  <c r="AE9" s="1"/>
  <c r="U8"/>
  <c r="AI8"/>
  <c r="S8"/>
  <c r="AG8"/>
  <c r="J8"/>
  <c r="X8"/>
  <c r="Q11" i="25"/>
  <c r="Q10"/>
  <c r="B74" s="1"/>
  <c r="B76" s="1"/>
  <c r="AB11"/>
  <c r="X11"/>
  <c r="AB10"/>
  <c r="J11"/>
  <c r="J10"/>
  <c r="U11"/>
  <c r="U10"/>
  <c r="N11"/>
  <c r="N10"/>
  <c r="E20"/>
  <c r="Z10"/>
  <c r="Z14"/>
  <c r="Z16" s="1"/>
  <c r="Z18" s="1"/>
  <c r="B75"/>
  <c r="C10"/>
  <c r="C11"/>
  <c r="C14" s="1"/>
  <c r="C16" s="1"/>
  <c r="C12"/>
  <c r="C13"/>
  <c r="C15"/>
  <c r="C17"/>
  <c r="C19"/>
  <c r="X10"/>
  <c r="X14" s="1"/>
  <c r="X16" s="1"/>
  <c r="X18" s="1"/>
  <c r="X20" s="1"/>
  <c r="X12"/>
  <c r="X13"/>
  <c r="X15"/>
  <c r="X17"/>
  <c r="X19"/>
  <c r="G23"/>
  <c r="C23" s="1"/>
  <c r="F23"/>
  <c r="B23" s="1"/>
  <c r="I11"/>
  <c r="I10"/>
  <c r="B19"/>
  <c r="B17"/>
  <c r="B15"/>
  <c r="W13"/>
  <c r="B13"/>
  <c r="B12"/>
  <c r="W11"/>
  <c r="B11" s="1"/>
  <c r="W10"/>
  <c r="B10" s="1"/>
  <c r="B9"/>
  <c r="B8"/>
  <c r="C8"/>
  <c r="C9"/>
  <c r="M23"/>
  <c r="M11"/>
  <c r="M10"/>
  <c r="G14"/>
  <c r="G16"/>
  <c r="B78"/>
  <c r="D64"/>
  <c r="C64"/>
  <c r="B63"/>
  <c r="B64"/>
  <c r="B65"/>
  <c r="F14"/>
  <c r="F16"/>
  <c r="B69"/>
  <c r="X8"/>
  <c r="AA10"/>
  <c r="AA11"/>
  <c r="AA13"/>
  <c r="AA14"/>
  <c r="AA16" s="1"/>
  <c r="AA18" s="1"/>
  <c r="AA20" s="1"/>
  <c r="AB14"/>
  <c r="AB16" s="1"/>
  <c r="AB18" s="1"/>
  <c r="AB20" s="1"/>
  <c r="D14"/>
  <c r="D16" s="1"/>
  <c r="D18" s="1"/>
  <c r="D20" s="1"/>
  <c r="B71"/>
  <c r="G46"/>
  <c r="G49"/>
  <c r="G50" s="1"/>
  <c r="F44"/>
  <c r="B44" s="1"/>
  <c r="F45"/>
  <c r="F47"/>
  <c r="B47"/>
  <c r="F48"/>
  <c r="E46"/>
  <c r="E49"/>
  <c r="E50"/>
  <c r="C44"/>
  <c r="C45"/>
  <c r="C46" s="1"/>
  <c r="C47"/>
  <c r="C48"/>
  <c r="C49" s="1"/>
  <c r="I45"/>
  <c r="G35"/>
  <c r="F31"/>
  <c r="B31" s="1"/>
  <c r="F32"/>
  <c r="B32" s="1"/>
  <c r="F33"/>
  <c r="B33" s="1"/>
  <c r="E35"/>
  <c r="D32"/>
  <c r="D35"/>
  <c r="C31"/>
  <c r="C32"/>
  <c r="C33"/>
  <c r="C35"/>
  <c r="B34"/>
  <c r="BJ23"/>
  <c r="BH23"/>
  <c r="BF23"/>
  <c r="AH10"/>
  <c r="AO10"/>
  <c r="AV10"/>
  <c r="BC10"/>
  <c r="BJ10" s="1"/>
  <c r="AH11"/>
  <c r="AO11"/>
  <c r="BJ11" s="1"/>
  <c r="BM11" s="1"/>
  <c r="AV11"/>
  <c r="BC11"/>
  <c r="BJ12"/>
  <c r="AV13"/>
  <c r="BJ13"/>
  <c r="AV15"/>
  <c r="BJ15"/>
  <c r="AV17"/>
  <c r="BJ17"/>
  <c r="AV19"/>
  <c r="BJ19"/>
  <c r="AT10"/>
  <c r="AR10"/>
  <c r="BA10"/>
  <c r="BH10" s="1"/>
  <c r="BH14" s="1"/>
  <c r="AT11"/>
  <c r="BH11" s="1"/>
  <c r="BH12"/>
  <c r="BH13"/>
  <c r="AT15"/>
  <c r="BH15" s="1"/>
  <c r="BH17"/>
  <c r="BH19"/>
  <c r="AD10"/>
  <c r="AK10"/>
  <c r="AY10"/>
  <c r="AY14" s="1"/>
  <c r="AY16" s="1"/>
  <c r="AY18" s="1"/>
  <c r="AY20" s="1"/>
  <c r="AD11"/>
  <c r="AK11"/>
  <c r="AY11"/>
  <c r="AD12"/>
  <c r="AK12"/>
  <c r="AR12"/>
  <c r="AY12"/>
  <c r="BF12" s="1"/>
  <c r="AD13"/>
  <c r="AK13"/>
  <c r="BF13" s="1"/>
  <c r="AR13"/>
  <c r="AY13"/>
  <c r="AK15"/>
  <c r="AY15"/>
  <c r="AK17"/>
  <c r="BF17" s="1"/>
  <c r="AR17"/>
  <c r="AY17"/>
  <c r="AK19"/>
  <c r="BF19" s="1"/>
  <c r="AR19"/>
  <c r="AY19"/>
  <c r="BC14"/>
  <c r="BC16" s="1"/>
  <c r="BC18" s="1"/>
  <c r="BC20" s="1"/>
  <c r="BA14"/>
  <c r="BA16" s="1"/>
  <c r="BA18" s="1"/>
  <c r="BA20" s="1"/>
  <c r="AV14"/>
  <c r="AV16" s="1"/>
  <c r="AV18" s="1"/>
  <c r="AV20" s="1"/>
  <c r="AT14"/>
  <c r="AT16" s="1"/>
  <c r="AT18" s="1"/>
  <c r="AT20" s="1"/>
  <c r="AO14"/>
  <c r="AO16" s="1"/>
  <c r="AO18" s="1"/>
  <c r="AO20" s="1"/>
  <c r="AM14"/>
  <c r="AM16" s="1"/>
  <c r="AM18" s="1"/>
  <c r="AM20" s="1"/>
  <c r="AK14"/>
  <c r="AK16" s="1"/>
  <c r="AK18" s="1"/>
  <c r="AK20" s="1"/>
  <c r="AH14"/>
  <c r="AH16" s="1"/>
  <c r="AH18" s="1"/>
  <c r="AH20" s="1"/>
  <c r="AF14"/>
  <c r="AF16" s="1"/>
  <c r="AF18" s="1"/>
  <c r="AF20" s="1"/>
  <c r="AD14"/>
  <c r="AD16" s="1"/>
  <c r="AD18" s="1"/>
  <c r="AD20" s="1"/>
  <c r="Y10"/>
  <c r="Y11"/>
  <c r="Y12"/>
  <c r="Y14" s="1"/>
  <c r="Y16" s="1"/>
  <c r="Y18" s="1"/>
  <c r="Y20" s="1"/>
  <c r="Y13"/>
  <c r="Y15"/>
  <c r="Y17"/>
  <c r="Y19"/>
  <c r="BJ9"/>
  <c r="BH9"/>
  <c r="AK9"/>
  <c r="BF9" s="1"/>
  <c r="AR9"/>
  <c r="AY9"/>
  <c r="AV8"/>
  <c r="BJ8" s="1"/>
  <c r="AT8"/>
  <c r="BH8" s="1"/>
  <c r="AK8"/>
  <c r="AY8"/>
  <c r="C18"/>
  <c r="C20" s="1"/>
  <c r="BF10"/>
  <c r="AI14" i="27"/>
  <c r="AI16" s="1"/>
  <c r="AI18"/>
  <c r="AI20" s="1"/>
  <c r="F18" i="25"/>
  <c r="F20"/>
  <c r="D69" s="1"/>
  <c r="D71" s="1"/>
  <c r="C69"/>
  <c r="C71"/>
  <c r="G18"/>
  <c r="G20"/>
  <c r="D78" s="1"/>
  <c r="C78"/>
  <c r="Z20"/>
  <c r="D75" s="1"/>
  <c r="C75"/>
  <c r="AR15"/>
  <c r="B45"/>
  <c r="W14"/>
  <c r="W16" s="1"/>
  <c r="W18"/>
  <c r="W20" s="1"/>
  <c r="Q8" i="27"/>
  <c r="AE8" s="1"/>
  <c r="Q11"/>
  <c r="Q14" s="1"/>
  <c r="X10"/>
  <c r="Q67"/>
  <c r="C14" i="18"/>
  <c r="X14" i="27"/>
  <c r="X16"/>
  <c r="X18" s="1"/>
  <c r="X20" s="1"/>
  <c r="D74" i="25"/>
  <c r="D76"/>
  <c r="D63"/>
  <c r="D65"/>
  <c r="AE67" i="27"/>
  <c r="BF15" i="25"/>
  <c r="AE11" i="27"/>
  <c r="B46" i="25"/>
  <c r="B48"/>
  <c r="B49" s="1"/>
  <c r="B50" s="1"/>
  <c r="I49"/>
  <c r="F46"/>
  <c r="C19" i="18"/>
  <c r="F49" i="25"/>
  <c r="L12" i="28"/>
  <c r="F50" i="25"/>
  <c r="F44" i="18"/>
  <c r="F45"/>
  <c r="F47" s="1"/>
  <c r="C25"/>
  <c r="C27" s="1"/>
  <c r="C37" s="1"/>
  <c r="C48" s="1"/>
  <c r="F19"/>
  <c r="S17" s="1"/>
  <c r="S22" s="1"/>
  <c r="S24" s="1"/>
  <c r="S28" s="1"/>
  <c r="B35" i="25"/>
  <c r="F25" i="18"/>
  <c r="F27"/>
  <c r="F37" s="1"/>
  <c r="S18"/>
  <c r="C63" i="25" l="1"/>
  <c r="C65" s="1"/>
  <c r="C74"/>
  <c r="C76" s="1"/>
  <c r="AI66" i="27"/>
  <c r="AI68" s="1"/>
  <c r="AI70" s="1"/>
  <c r="AI72" s="1"/>
  <c r="AL62"/>
  <c r="F103" i="17"/>
  <c r="G103"/>
  <c r="BJ14" i="25"/>
  <c r="BJ16" s="1"/>
  <c r="BJ18" s="1"/>
  <c r="BJ20" s="1"/>
  <c r="BM10"/>
  <c r="B14"/>
  <c r="B16" s="1"/>
  <c r="B58"/>
  <c r="B60" s="1"/>
  <c r="C31" i="17"/>
  <c r="C34" s="1"/>
  <c r="C37" s="1"/>
  <c r="C40" s="1"/>
  <c r="E28"/>
  <c r="E31" s="1"/>
  <c r="E34" s="1"/>
  <c r="E37" s="1"/>
  <c r="BH16" i="25"/>
  <c r="BH18" s="1"/>
  <c r="BH20" s="1"/>
  <c r="C50"/>
  <c r="AG16" i="27"/>
  <c r="AG18" s="1"/>
  <c r="AG20" s="1"/>
  <c r="AG66"/>
  <c r="AG68" s="1"/>
  <c r="AG70" s="1"/>
  <c r="AG72" s="1"/>
  <c r="Q68"/>
  <c r="Q70" s="1"/>
  <c r="Q72" s="1"/>
  <c r="S37" i="18"/>
  <c r="S46" s="1"/>
  <c r="S50" s="1"/>
  <c r="S53" s="1"/>
  <c r="F36"/>
  <c r="AR8" i="25"/>
  <c r="BF8" s="1"/>
  <c r="AR11"/>
  <c r="AR14" s="1"/>
  <c r="AR16" s="1"/>
  <c r="AR18" s="1"/>
  <c r="AR20" s="1"/>
  <c r="F35"/>
  <c r="Q15" i="27"/>
  <c r="Q16" s="1"/>
  <c r="Q18" s="1"/>
  <c r="Q20" s="1"/>
  <c r="J10"/>
  <c r="Q60"/>
  <c r="AE60" s="1"/>
  <c r="J62"/>
  <c r="AE62" l="1"/>
  <c r="AE66" s="1"/>
  <c r="AE68" s="1"/>
  <c r="AE70" s="1"/>
  <c r="AE72" s="1"/>
  <c r="J66"/>
  <c r="J68" s="1"/>
  <c r="J70" s="1"/>
  <c r="J72" s="1"/>
  <c r="J14"/>
  <c r="J16" s="1"/>
  <c r="J18" s="1"/>
  <c r="J20" s="1"/>
  <c r="AE10"/>
  <c r="AE14" s="1"/>
  <c r="AE15"/>
  <c r="BF11" i="25"/>
  <c r="BF14" s="1"/>
  <c r="BF16" s="1"/>
  <c r="BF18" s="1"/>
  <c r="BF20" s="1"/>
  <c r="E40" i="17"/>
  <c r="E43" s="1"/>
  <c r="E46" s="1"/>
  <c r="E49" s="1"/>
  <c r="E52" s="1"/>
  <c r="E55" s="1"/>
  <c r="E58" s="1"/>
  <c r="E61" s="1"/>
  <c r="E64" s="1"/>
  <c r="E67" s="1"/>
  <c r="E70" s="1"/>
  <c r="E73" s="1"/>
  <c r="E76" s="1"/>
  <c r="E79" s="1"/>
  <c r="E82" s="1"/>
  <c r="E85" s="1"/>
  <c r="E88" s="1"/>
  <c r="E91" s="1"/>
  <c r="E94" s="1"/>
  <c r="E97" s="1"/>
  <c r="E100" s="1"/>
  <c r="E103" s="1"/>
  <c r="C43"/>
  <c r="C46" s="1"/>
  <c r="C49" s="1"/>
  <c r="C52" s="1"/>
  <c r="C55" s="1"/>
  <c r="C58" s="1"/>
  <c r="C61" s="1"/>
  <c r="C64" s="1"/>
  <c r="C67" s="1"/>
  <c r="C70" s="1"/>
  <c r="C73" s="1"/>
  <c r="C76" s="1"/>
  <c r="C79" s="1"/>
  <c r="C82" s="1"/>
  <c r="C85" s="1"/>
  <c r="C88" s="1"/>
  <c r="C91" s="1"/>
  <c r="C94" s="1"/>
  <c r="C97" s="1"/>
  <c r="C100" s="1"/>
  <c r="C103" s="1"/>
  <c r="C58" i="25"/>
  <c r="C60" s="1"/>
  <c r="B18"/>
  <c r="B20" s="1"/>
  <c r="D58" s="1"/>
  <c r="D60" s="1"/>
  <c r="AE16" i="27" l="1"/>
  <c r="AE18" s="1"/>
  <c r="AE20" s="1"/>
</calcChain>
</file>

<file path=xl/comments1.xml><?xml version="1.0" encoding="utf-8"?>
<comments xmlns="http://schemas.openxmlformats.org/spreadsheetml/2006/main">
  <authors>
    <author>Patrick</author>
  </authors>
  <commentList>
    <comment ref="O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excl sales to Alcom</t>
        </r>
      </text>
    </comment>
    <comment ref="AA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B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F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H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I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J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K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N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O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P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Q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T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U7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O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excl sales to Alcom</t>
        </r>
      </text>
    </comment>
    <comment ref="AA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B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F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H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I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J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K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N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O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P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Q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T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  <comment ref="AU9" authorId="0">
      <text>
        <r>
          <rPr>
            <b/>
            <sz val="8"/>
            <color indexed="81"/>
            <rFont val="Tahoma"/>
            <family val="2"/>
          </rPr>
          <t>Patrick:</t>
        </r>
        <r>
          <rPr>
            <sz val="8"/>
            <color indexed="81"/>
            <rFont val="Tahoma"/>
            <family val="2"/>
          </rPr>
          <t xml:space="preserve">
3rd party only</t>
        </r>
      </text>
    </comment>
  </commentList>
</comments>
</file>

<file path=xl/comments2.xml><?xml version="1.0" encoding="utf-8"?>
<comments xmlns="http://schemas.openxmlformats.org/spreadsheetml/2006/main">
  <authors>
    <author>alcheng</author>
  </authors>
  <commentList>
    <comment ref="G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821k</t>
        </r>
      </text>
    </comment>
    <comment ref="N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733k</t>
        </r>
      </text>
    </comment>
    <comment ref="U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1105
k</t>
        </r>
      </text>
    </comment>
  </commentList>
</comments>
</file>

<file path=xl/comments3.xml><?xml version="1.0" encoding="utf-8"?>
<comments xmlns="http://schemas.openxmlformats.org/spreadsheetml/2006/main">
  <authors>
    <author>alcheng</author>
  </authors>
  <commentList>
    <comment ref="AH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821k</t>
        </r>
      </text>
    </comment>
    <comment ref="AO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733k</t>
        </r>
      </text>
    </comment>
    <comment ref="AV10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included coated scrap rev  1105
k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include payment of
VSS 8063K</t>
        </r>
      </text>
    </comment>
    <comment ref="D32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dies</t>
        </r>
      </text>
    </comment>
  </commentList>
</comments>
</file>

<file path=xl/comments4.xml><?xml version="1.0" encoding="utf-8"?>
<comments xmlns="http://schemas.openxmlformats.org/spreadsheetml/2006/main">
  <authors>
    <author>alcheng</author>
  </authors>
  <commentList>
    <comment ref="K3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depr of inter co vehicle
in AESB 6980*6
</t>
        </r>
      </text>
    </comment>
    <comment ref="K11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depr of inter co vehicle
in AESB 6980*11+3490
</t>
        </r>
      </text>
    </comment>
    <comment ref="K12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depr of inter co vehicle
in AESB 6980*6
</t>
        </r>
      </text>
    </comment>
    <comment ref="M34" authorId="0">
      <text>
        <r>
          <rPr>
            <b/>
            <sz val="8"/>
            <color indexed="81"/>
            <rFont val="Tahoma"/>
            <family val="2"/>
          </rPr>
          <t>alcheng:</t>
        </r>
        <r>
          <rPr>
            <sz val="8"/>
            <color indexed="81"/>
            <rFont val="Tahoma"/>
            <family val="2"/>
          </rPr>
          <t xml:space="preserve">
ANSC 43000
AAS17330
ALCOM325000
</t>
        </r>
      </text>
    </comment>
  </commentList>
</comments>
</file>

<file path=xl/sharedStrings.xml><?xml version="1.0" encoding="utf-8"?>
<sst xmlns="http://schemas.openxmlformats.org/spreadsheetml/2006/main" count="733" uniqueCount="318">
  <si>
    <t>ALCOM</t>
  </si>
  <si>
    <t>Inventories</t>
  </si>
  <si>
    <t>ANSC</t>
  </si>
  <si>
    <t xml:space="preserve">ALUMINIUM COMPANY OF MALAYSIA BERHAD (3859-U) </t>
  </si>
  <si>
    <t>QUARTER</t>
  </si>
  <si>
    <t>RM'000</t>
  </si>
  <si>
    <t>Revenue</t>
  </si>
  <si>
    <t>-</t>
  </si>
  <si>
    <t xml:space="preserve"> 12 months ended 31 Dec</t>
  </si>
  <si>
    <t>Q4 03</t>
  </si>
  <si>
    <t>Q3 03</t>
  </si>
  <si>
    <t>Q2 03</t>
  </si>
  <si>
    <t>Q1 03</t>
  </si>
  <si>
    <t>Note</t>
  </si>
  <si>
    <t>MT</t>
  </si>
  <si>
    <t>Expenses excluding finance cost and tax</t>
  </si>
  <si>
    <t>Loss on divestment</t>
  </si>
  <si>
    <t>Other operating income</t>
  </si>
  <si>
    <t>Profit from operations</t>
  </si>
  <si>
    <t>Finance cost</t>
  </si>
  <si>
    <t>Profit/(loss) before tax</t>
  </si>
  <si>
    <t xml:space="preserve">Taxation </t>
  </si>
  <si>
    <t>Profit after tax</t>
  </si>
  <si>
    <t>Minority interest</t>
  </si>
  <si>
    <t>Net profit /(loss) for the period</t>
  </si>
  <si>
    <t>Basic earnings/(loss) per ordinary share (sen)</t>
  </si>
  <si>
    <t>Diluted earnings/(loss) per ordinary share (sen)</t>
  </si>
  <si>
    <t>(The Condensed Consolidated Income Statements should be read in conjunction with the</t>
  </si>
  <si>
    <t>Condensed Consolidated Balance Sheet</t>
  </si>
  <si>
    <t>AS AT</t>
  </si>
  <si>
    <t>END OF CURRENT</t>
  </si>
  <si>
    <t>PRECEDING FINANCIAL</t>
  </si>
  <si>
    <t>YEAR END</t>
  </si>
  <si>
    <t>Non current assets</t>
  </si>
  <si>
    <t>Property, plant and equipment</t>
  </si>
  <si>
    <t>Current assets</t>
  </si>
  <si>
    <t>Receivables,deposits and prepayments</t>
  </si>
  <si>
    <t>Deposits,cash and bank balances</t>
  </si>
  <si>
    <t>Less: Current liabilities</t>
  </si>
  <si>
    <t>Trade and other payables</t>
  </si>
  <si>
    <t>Tax liabilities</t>
  </si>
  <si>
    <t>Net current assets</t>
  </si>
  <si>
    <t>Less: Non current liabilities</t>
  </si>
  <si>
    <t>Provision for retirement benefits</t>
  </si>
  <si>
    <t>Deferred taxation</t>
  </si>
  <si>
    <t>Capital and reserves</t>
  </si>
  <si>
    <t>Share capital</t>
  </si>
  <si>
    <t>Reserves</t>
  </si>
  <si>
    <t>Shareholders' equity</t>
  </si>
  <si>
    <t>NTA</t>
  </si>
  <si>
    <t>(The Condensed Consolidated Balance Sheet  should be read in conjunction with the</t>
  </si>
  <si>
    <t>Non-distributable</t>
  </si>
  <si>
    <t>Revaluation</t>
  </si>
  <si>
    <t>Share</t>
  </si>
  <si>
    <t>and other</t>
  </si>
  <si>
    <t>capital</t>
  </si>
  <si>
    <t>premium</t>
  </si>
  <si>
    <t>reserves</t>
  </si>
  <si>
    <t>Total</t>
  </si>
  <si>
    <t>Dividends</t>
  </si>
  <si>
    <t>Share buyback-treasury shares</t>
  </si>
  <si>
    <t>(The Condensed Consolidated Statements of Changes in Equity  should be read in conjunction with the</t>
  </si>
  <si>
    <t>Operating activities</t>
  </si>
  <si>
    <t>Cash from operations</t>
  </si>
  <si>
    <t>Interest paid</t>
  </si>
  <si>
    <t>Payment of retirement benefits</t>
  </si>
  <si>
    <t>Payment of voluntary separation scheme cost</t>
  </si>
  <si>
    <t>Tax paid</t>
  </si>
  <si>
    <t>Net cash flow from operating activities</t>
  </si>
  <si>
    <t>Investing activities</t>
  </si>
  <si>
    <t>Purchase of fixed assets</t>
  </si>
  <si>
    <t>Proceeds from sale of fixed assets</t>
  </si>
  <si>
    <t>Proceed from disposal of subsidiary</t>
  </si>
  <si>
    <t>Addition investment in subsidiary</t>
  </si>
  <si>
    <t>Net cash flow from investing activities</t>
  </si>
  <si>
    <t>Financing activities</t>
  </si>
  <si>
    <t>Proceeds from issue of ordinary shares</t>
  </si>
  <si>
    <t>Payment of ordinary dividends</t>
  </si>
  <si>
    <t>Share buy back</t>
  </si>
  <si>
    <t>Net cash outflow from financing activities</t>
  </si>
  <si>
    <t>Changes in Cash &amp; Cash Equivalents</t>
  </si>
  <si>
    <t>Cash &amp; Cash Equivalents at beginning of year</t>
  </si>
  <si>
    <t>(The Condensed Consolidated Cash Flow Statement  should be read in conjunction with the</t>
  </si>
  <si>
    <t>YTD Dec 03</t>
  </si>
  <si>
    <t>AESB</t>
  </si>
  <si>
    <t>Q1</t>
  </si>
  <si>
    <t>Q2</t>
  </si>
  <si>
    <t>Q3</t>
  </si>
  <si>
    <t>Conso adj</t>
  </si>
  <si>
    <t>Profit before tax</t>
  </si>
  <si>
    <t>Options in 2001</t>
  </si>
  <si>
    <t>Options in 2000</t>
  </si>
  <si>
    <t>at RM1.07</t>
  </si>
  <si>
    <t>at RM2.48</t>
  </si>
  <si>
    <t>Total exercised</t>
  </si>
  <si>
    <t>Lapse</t>
  </si>
  <si>
    <t>Granted -2000</t>
  </si>
  <si>
    <t>2000</t>
  </si>
  <si>
    <t>Granted- 2001</t>
  </si>
  <si>
    <t>Exercise yr 2002</t>
  </si>
  <si>
    <t>May02=17K,Nov02=14K</t>
  </si>
  <si>
    <t>Balance 31.12.2002</t>
  </si>
  <si>
    <t>Exercise Q1 03</t>
  </si>
  <si>
    <t>Balance 31.3.03</t>
  </si>
  <si>
    <t>Exercise Q2 03</t>
  </si>
  <si>
    <t>Balance 30.6.03</t>
  </si>
  <si>
    <t>Exercise Q3 03</t>
  </si>
  <si>
    <t>Balance 30.9.03</t>
  </si>
  <si>
    <t>Exercise Q4 03</t>
  </si>
  <si>
    <t>Balance 31.12.03</t>
  </si>
  <si>
    <t>Disposal</t>
  </si>
  <si>
    <t>Cost add</t>
  </si>
  <si>
    <t>Depr charg</t>
  </si>
  <si>
    <t>disp cost</t>
  </si>
  <si>
    <t>Disp Depn</t>
  </si>
  <si>
    <t>proceed</t>
  </si>
  <si>
    <t>prov P&amp;L</t>
  </si>
  <si>
    <t>Alcom,ANSC,AESB</t>
  </si>
  <si>
    <t>Variance</t>
  </si>
  <si>
    <t>Cash Flow Workings</t>
  </si>
  <si>
    <t>Intangible asset</t>
  </si>
  <si>
    <t>Gain on disposal</t>
  </si>
  <si>
    <t>Depreciation</t>
  </si>
  <si>
    <t>increase in current assets</t>
  </si>
  <si>
    <t>increase payables</t>
  </si>
  <si>
    <t>increase in RB</t>
  </si>
  <si>
    <t>Interest received -repo&amp;customers</t>
  </si>
  <si>
    <t>Loss on divestment of AESB</t>
  </si>
  <si>
    <t>Interest received</t>
  </si>
  <si>
    <t>Impairment of assets</t>
  </si>
  <si>
    <t>Disposal of AESB</t>
  </si>
  <si>
    <t>Cash &amp; Cash Equivalents at end of period</t>
  </si>
  <si>
    <t>Q1 04</t>
  </si>
  <si>
    <t>Q2 04</t>
  </si>
  <si>
    <t>Q3 04</t>
  </si>
  <si>
    <t>Q4 04</t>
  </si>
  <si>
    <t>Total 2003</t>
  </si>
  <si>
    <t>Q103</t>
  </si>
  <si>
    <t>Q203</t>
  </si>
  <si>
    <t>Q303</t>
  </si>
  <si>
    <t>Q403</t>
  </si>
  <si>
    <t>ANSC coated scrap-Revenue=Cost</t>
  </si>
  <si>
    <t xml:space="preserve"> 9 months ended 30 Sep</t>
  </si>
  <si>
    <t>Diff</t>
  </si>
  <si>
    <t>Exercise Q1 04</t>
  </si>
  <si>
    <t>Balance 31.3.04</t>
  </si>
  <si>
    <t>Continuing and Discontinuing Operations</t>
  </si>
  <si>
    <t>Continuing operations</t>
  </si>
  <si>
    <t>Discontinuing operations</t>
  </si>
  <si>
    <t xml:space="preserve">                 Group</t>
  </si>
  <si>
    <t>Income Statement</t>
  </si>
  <si>
    <t>Loss on divestment subsidiary</t>
  </si>
  <si>
    <t>Cash Flow s</t>
  </si>
  <si>
    <t>Proceed from disposal</t>
  </si>
  <si>
    <t>Total Cash flows</t>
  </si>
  <si>
    <t>Balance Sheet</t>
  </si>
  <si>
    <t>Total  assets</t>
  </si>
  <si>
    <t>Current liabilities</t>
  </si>
  <si>
    <t>Non current liabilities</t>
  </si>
  <si>
    <t>Total  liabilities</t>
  </si>
  <si>
    <t>Net assets</t>
  </si>
  <si>
    <t>Profit before</t>
  </si>
  <si>
    <t>Net profit</t>
  </si>
  <si>
    <t xml:space="preserve">   Q ended 31 Mar</t>
  </si>
  <si>
    <t>tax</t>
  </si>
  <si>
    <t xml:space="preserve">   Q ended 31 Dec</t>
  </si>
  <si>
    <t>MT -coated scrap</t>
  </si>
  <si>
    <t>Revenue (included coated scrap)</t>
  </si>
  <si>
    <t>Coated scrap -revenue&amp;cost</t>
  </si>
  <si>
    <t>AESB only</t>
  </si>
  <si>
    <t xml:space="preserve">   Q ended 30 Sep</t>
  </si>
  <si>
    <t xml:space="preserve">   Q ended 30 Jun</t>
  </si>
  <si>
    <t>Year 2003</t>
  </si>
  <si>
    <t>Group</t>
  </si>
  <si>
    <t>Revised treatment of Loss on divestment of AESB for Q3&amp;Q4</t>
  </si>
  <si>
    <t>Total 2004</t>
  </si>
  <si>
    <t>ESOS</t>
  </si>
  <si>
    <t>Exercise Q2 04</t>
  </si>
  <si>
    <t>Balance 30.6.04</t>
  </si>
  <si>
    <t xml:space="preserve"> 6 months ended 30 Jun</t>
  </si>
  <si>
    <t>Exercise Q3 04</t>
  </si>
  <si>
    <t>Balance 30.9.04</t>
  </si>
  <si>
    <t xml:space="preserve"> 3 months ended 31 Dec</t>
  </si>
  <si>
    <t>Quarter ended 31 Dec 2004</t>
  </si>
  <si>
    <t>12 months ended 31 Dec 2004</t>
  </si>
  <si>
    <t>12 months ended 31 Dec 2003</t>
  </si>
  <si>
    <t>Quarter ended 31 Dec 2003</t>
  </si>
  <si>
    <t>Exercise Q4 04</t>
  </si>
  <si>
    <t>Balance 31.12.04</t>
  </si>
  <si>
    <t>Payment of dividends to:</t>
  </si>
  <si>
    <t xml:space="preserve"> - shareholders</t>
  </si>
  <si>
    <t xml:space="preserve"> - minority interests in subsidiary company</t>
  </si>
  <si>
    <t>Interest income received</t>
  </si>
  <si>
    <t>reserve</t>
  </si>
  <si>
    <t>Land disposal costs</t>
  </si>
  <si>
    <t>Q1 05</t>
  </si>
  <si>
    <t>Q2 05</t>
  </si>
  <si>
    <t>Q3 05</t>
  </si>
  <si>
    <t>Q4 05</t>
  </si>
  <si>
    <t>Total 2005</t>
  </si>
  <si>
    <t>Exercise Q1 05</t>
  </si>
  <si>
    <t>Balance 31.3.05</t>
  </si>
  <si>
    <t>Exercise Q2 05</t>
  </si>
  <si>
    <t>Balance 30.6.05</t>
  </si>
  <si>
    <t>Exercise Q3 05</t>
  </si>
  <si>
    <t>Balance 30.9.05</t>
  </si>
  <si>
    <t>Exercise Q4 05</t>
  </si>
  <si>
    <t>Balance 31.12.05</t>
  </si>
  <si>
    <t>Q1 06</t>
  </si>
  <si>
    <t>Q2 06</t>
  </si>
  <si>
    <t>Q3 06</t>
  </si>
  <si>
    <t>Q4 06</t>
  </si>
  <si>
    <t>Total 2006</t>
  </si>
  <si>
    <t>Exercise Q1 06</t>
  </si>
  <si>
    <t>Balance 31.3.06</t>
  </si>
  <si>
    <t>Goodwill</t>
  </si>
  <si>
    <t xml:space="preserve"> - Equity holders of the parent</t>
  </si>
  <si>
    <t xml:space="preserve"> - Minority interest</t>
  </si>
  <si>
    <t>Total equity</t>
  </si>
  <si>
    <t>Prepaid lease payments</t>
  </si>
  <si>
    <t>Deferred tax assets</t>
  </si>
  <si>
    <t>Deferred tax liabilities</t>
  </si>
  <si>
    <t>Current tax liabilities</t>
  </si>
  <si>
    <t>Acquisition of minority interest</t>
  </si>
  <si>
    <t>Exercise Q2 06</t>
  </si>
  <si>
    <t>Balance 30.6.06</t>
  </si>
  <si>
    <t>Goodwill written off</t>
  </si>
  <si>
    <t>Exercise Q3 06</t>
  </si>
  <si>
    <t>Balance 30.9.06</t>
  </si>
  <si>
    <t>Exercise Q4 06</t>
  </si>
  <si>
    <t>Balance 31.12.06</t>
  </si>
  <si>
    <t>Q1 07</t>
  </si>
  <si>
    <t>Q2 07</t>
  </si>
  <si>
    <t>Q3 07</t>
  </si>
  <si>
    <t>Q4 07</t>
  </si>
  <si>
    <t>Attributable to:</t>
  </si>
  <si>
    <t>Total 2007</t>
  </si>
  <si>
    <t>Exercise Q1 07</t>
  </si>
  <si>
    <t>Balance 31.3.07</t>
  </si>
  <si>
    <t>Exercise Q2 07</t>
  </si>
  <si>
    <t>Balance 30.6.07</t>
  </si>
  <si>
    <t>Exercise Q3 07</t>
  </si>
  <si>
    <t>Balance 30.9.07</t>
  </si>
  <si>
    <t xml:space="preserve">  Quarter ended 31 Dec</t>
  </si>
  <si>
    <t>Q1 08</t>
  </si>
  <si>
    <t>Exercise Q4 07</t>
  </si>
  <si>
    <t>Balance 31.12.07</t>
  </si>
  <si>
    <t>Exercise Q1 08</t>
  </si>
  <si>
    <t>Balance 31.03.08</t>
  </si>
  <si>
    <t>Q1 09</t>
  </si>
  <si>
    <t>Q2 09</t>
  </si>
  <si>
    <t>Q3 09</t>
  </si>
  <si>
    <t>Q4 09</t>
  </si>
  <si>
    <t>Total 2009</t>
  </si>
  <si>
    <t>Type</t>
  </si>
  <si>
    <t>GL DESCRIPTION</t>
  </si>
  <si>
    <t>GL CODE</t>
  </si>
  <si>
    <t>BALANCE</t>
  </si>
  <si>
    <t>AR</t>
  </si>
  <si>
    <t>Intercompany Receivable</t>
  </si>
  <si>
    <t>8000-142.11.000.00</t>
  </si>
  <si>
    <t>AP</t>
  </si>
  <si>
    <t xml:space="preserve">Creditor - Alcom        </t>
  </si>
  <si>
    <t>Other Rec-Ansc</t>
  </si>
  <si>
    <t>8000-142.13.010.00</t>
  </si>
  <si>
    <t xml:space="preserve">Creditor - Alcom Other  </t>
  </si>
  <si>
    <t xml:space="preserve">Alcom Group Companies  </t>
  </si>
  <si>
    <t>8000-200.10.000.03</t>
  </si>
  <si>
    <t xml:space="preserve"> Other Receivables -Alcom </t>
  </si>
  <si>
    <t>6000-142.22.000.00</t>
  </si>
  <si>
    <t>Prepared by:………………………………….</t>
  </si>
  <si>
    <t>Reviewed by:………………………………….</t>
  </si>
  <si>
    <t>Approved by:………………………………….</t>
  </si>
  <si>
    <t>Exercise Q1 09</t>
  </si>
  <si>
    <t>Balance 30.06.08</t>
  </si>
  <si>
    <t>n/a</t>
  </si>
  <si>
    <t>6000-200.22.010.00</t>
  </si>
  <si>
    <t>Exercise Q2 09</t>
  </si>
  <si>
    <t>Balance 30.09.08</t>
  </si>
  <si>
    <t xml:space="preserve">  9 months ended 31 Dec</t>
  </si>
  <si>
    <t>Exercise Q3 09</t>
  </si>
  <si>
    <t>Balance 31.12.08</t>
  </si>
  <si>
    <t>Exercise Q4 09</t>
  </si>
  <si>
    <t>Balance 31.03.09</t>
  </si>
  <si>
    <t>9 months ended 31 Dec</t>
  </si>
  <si>
    <t>Q1 10</t>
  </si>
  <si>
    <t>Q2 10</t>
  </si>
  <si>
    <t>Q3 10</t>
  </si>
  <si>
    <t>Q4 10</t>
  </si>
  <si>
    <t>Total 2010</t>
  </si>
  <si>
    <t>Tax recoverable</t>
  </si>
  <si>
    <t>6000-200.22.000.00</t>
  </si>
  <si>
    <t>Dividend payable</t>
  </si>
  <si>
    <t>Exercise Q1 10</t>
  </si>
  <si>
    <t>Balance 30.06.09</t>
  </si>
  <si>
    <t>Exercise Q2 10</t>
  </si>
  <si>
    <t>Balance 30.09.09</t>
  </si>
  <si>
    <t>Exercise Q3 10</t>
  </si>
  <si>
    <t>Balance 31.12.09</t>
  </si>
  <si>
    <t>Exercise Q4 10</t>
  </si>
  <si>
    <t>Balance 31.03.10</t>
  </si>
  <si>
    <t>Q1 11</t>
  </si>
  <si>
    <r>
      <t>ALCOM TRADE AND NON TRADE</t>
    </r>
    <r>
      <rPr>
        <b/>
        <u/>
        <sz val="16"/>
        <rFont val="Arial"/>
        <family val="2"/>
      </rPr>
      <t xml:space="preserve"> DEBTORS</t>
    </r>
    <r>
      <rPr>
        <b/>
        <u/>
        <sz val="10"/>
        <rFont val="Arial"/>
        <family val="2"/>
      </rPr>
      <t xml:space="preserve"> BALANCE WITH ANSC AS AT 30-6-2010</t>
    </r>
  </si>
  <si>
    <r>
      <t xml:space="preserve">ALCOM TRADE AND NON TRADE </t>
    </r>
    <r>
      <rPr>
        <b/>
        <u/>
        <sz val="14"/>
        <rFont val="Arial"/>
        <family val="2"/>
      </rPr>
      <t>CREDITORS</t>
    </r>
    <r>
      <rPr>
        <b/>
        <u/>
        <sz val="10"/>
        <rFont val="Arial"/>
        <family val="2"/>
      </rPr>
      <t xml:space="preserve"> BALANCE WITH ANSC AS AT 30-6-2010</t>
    </r>
  </si>
  <si>
    <t>Annual Financial Report for the period ended 31 March 2010 )</t>
  </si>
  <si>
    <t>Balance as at 1 April  2009</t>
  </si>
  <si>
    <t>Annual Financial Report for the year ended 31 March 2010 )</t>
  </si>
  <si>
    <t>Balance as at 1 April 2010</t>
  </si>
  <si>
    <t>Q2 11</t>
  </si>
  <si>
    <t>Refund of tax</t>
  </si>
  <si>
    <t>CONDENSED CONSOLIDATED STATEMENT OF CASH FLOWS (UNAUDITED)</t>
  </si>
  <si>
    <t>2010 (UNAUDITED)</t>
  </si>
  <si>
    <t>CONDENSED CONSOLIDATED STATEMENT OF FINANCIAL POSITION AS AT 31 DECEMBER,</t>
  </si>
  <si>
    <t>Balance as at 31 December 2010</t>
  </si>
  <si>
    <t>Balance as at 31 December 2009</t>
  </si>
  <si>
    <t>Condensed Consolidated Statement of Comprehensive Income (Unaudited) for the Quarter ended 31 December 2010</t>
  </si>
  <si>
    <t>Net profit for the 9-month period</t>
  </si>
  <si>
    <t>Condensed Consolidated Statement of Changes In Equity (Unaudited) For the Quarter Ended 31 December 2010</t>
  </si>
</sst>
</file>

<file path=xl/styles.xml><?xml version="1.0" encoding="utf-8"?>
<styleSheet xmlns="http://schemas.openxmlformats.org/spreadsheetml/2006/main">
  <numFmts count="11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m/d/yyyy"/>
    <numFmt numFmtId="167" formatCode="dd\-mmm\-yy_)"/>
    <numFmt numFmtId="168" formatCode="#,##0.0_);\(#,##0.0\)"/>
    <numFmt numFmtId="169" formatCode="0.000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([$€]* #,##0.00_);_([$€]* \(#,##0.00\);_([$€]* &quot;-&quot;??_);_(@_)"/>
  </numFmts>
  <fonts count="38">
    <font>
      <sz val="10"/>
      <name val="Arial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61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sz val="10"/>
      <name val="Helv"/>
      <family val="2"/>
    </font>
    <font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4">
    <xf numFmtId="0" fontId="0" fillId="0" borderId="0"/>
    <xf numFmtId="0" fontId="1" fillId="0" borderId="0"/>
    <xf numFmtId="0" fontId="16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0" borderId="0"/>
    <xf numFmtId="0" fontId="22" fillId="16" borderId="2" applyNumberFormat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38" fontId="5" fillId="18" borderId="0" applyNumberFormat="0" applyBorder="0" applyAlignment="0" applyProtection="0"/>
    <xf numFmtId="0" fontId="25" fillId="0" borderId="0">
      <alignment horizontal="left"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10" fontId="5" fillId="18" borderId="6" applyNumberFormat="0" applyBorder="0" applyAlignment="0" applyProtection="0"/>
    <xf numFmtId="0" fontId="30" fillId="0" borderId="7" applyNumberFormat="0" applyFill="0" applyAlignment="0" applyProtection="0"/>
    <xf numFmtId="0" fontId="31" fillId="0" borderId="8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8" borderId="0" applyNumberFormat="0" applyBorder="0" applyAlignment="0" applyProtection="0"/>
    <xf numFmtId="165" fontId="2" fillId="0" borderId="0"/>
    <xf numFmtId="0" fontId="2" fillId="4" borderId="9" applyNumberFormat="0" applyFont="0" applyAlignment="0" applyProtection="0"/>
    <xf numFmtId="0" fontId="33" fillId="2" borderId="10" applyNumberFormat="0" applyAlignment="0" applyProtection="0"/>
    <xf numFmtId="10" fontId="4" fillId="0" borderId="0" applyFont="0" applyFill="0" applyBorder="0" applyAlignment="0" applyProtection="0"/>
    <xf numFmtId="0" fontId="15" fillId="0" borderId="0"/>
    <xf numFmtId="0" fontId="31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/>
  </cellStyleXfs>
  <cellXfs count="194">
    <xf numFmtId="0" fontId="0" fillId="0" borderId="0" xfId="0"/>
    <xf numFmtId="0" fontId="4" fillId="0" borderId="13" xfId="0" applyFont="1" applyFill="1" applyBorder="1"/>
    <xf numFmtId="37" fontId="4" fillId="0" borderId="14" xfId="0" applyNumberFormat="1" applyFont="1" applyBorder="1"/>
    <xf numFmtId="0" fontId="4" fillId="0" borderId="14" xfId="0" applyFont="1" applyFill="1" applyBorder="1"/>
    <xf numFmtId="164" fontId="4" fillId="0" borderId="13" xfId="31" applyNumberFormat="1" applyFont="1" applyFill="1" applyBorder="1"/>
    <xf numFmtId="37" fontId="4" fillId="0" borderId="0" xfId="31" applyNumberFormat="1" applyFont="1"/>
    <xf numFmtId="16" fontId="4" fillId="0" borderId="0" xfId="0" applyNumberFormat="1" applyFont="1" applyBorder="1" applyAlignment="1">
      <alignment horizontal="center"/>
    </xf>
    <xf numFmtId="164" fontId="4" fillId="0" borderId="14" xfId="31" applyNumberFormat="1" applyFont="1" applyFill="1" applyBorder="1"/>
    <xf numFmtId="0" fontId="3" fillId="0" borderId="0" xfId="0" applyNumberFormat="1" applyFont="1"/>
    <xf numFmtId="37" fontId="4" fillId="0" borderId="15" xfId="31" applyNumberFormat="1" applyFont="1" applyFill="1" applyBorder="1"/>
    <xf numFmtId="37" fontId="4" fillId="0" borderId="16" xfId="31" applyNumberFormat="1" applyFont="1" applyFill="1" applyBorder="1"/>
    <xf numFmtId="17" fontId="3" fillId="0" borderId="0" xfId="0" applyNumberFormat="1" applyFont="1" applyAlignment="1">
      <alignment horizontal="left"/>
    </xf>
    <xf numFmtId="0" fontId="3" fillId="0" borderId="0" xfId="0" applyFont="1"/>
    <xf numFmtId="1" fontId="0" fillId="0" borderId="0" xfId="0" applyNumberFormat="1"/>
    <xf numFmtId="0" fontId="4" fillId="0" borderId="0" xfId="0" applyFont="1"/>
    <xf numFmtId="0" fontId="4" fillId="0" borderId="0" xfId="0" applyFont="1" applyBorder="1"/>
    <xf numFmtId="16" fontId="4" fillId="0" borderId="16" xfId="0" applyNumberFormat="1" applyFont="1" applyBorder="1" applyAlignment="1">
      <alignment horizontal="center"/>
    </xf>
    <xf numFmtId="16" fontId="4" fillId="0" borderId="17" xfId="0" applyNumberFormat="1" applyFont="1" applyBorder="1" applyAlignment="1">
      <alignment horizontal="center"/>
    </xf>
    <xf numFmtId="3" fontId="3" fillId="0" borderId="0" xfId="0" applyNumberFormat="1" applyFont="1"/>
    <xf numFmtId="0" fontId="10" fillId="0" borderId="0" xfId="0" applyFont="1"/>
    <xf numFmtId="0" fontId="3" fillId="0" borderId="0" xfId="0" applyFont="1" applyFill="1"/>
    <xf numFmtId="0" fontId="0" fillId="0" borderId="0" xfId="0" applyFill="1"/>
    <xf numFmtId="2" fontId="3" fillId="0" borderId="0" xfId="0" applyNumberFormat="1" applyFont="1" applyFill="1"/>
    <xf numFmtId="3" fontId="0" fillId="0" borderId="0" xfId="0" applyNumberForma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3" fontId="4" fillId="0" borderId="0" xfId="0" applyNumberFormat="1" applyFont="1"/>
    <xf numFmtId="3" fontId="0" fillId="0" borderId="0" xfId="0" applyNumberFormat="1"/>
    <xf numFmtId="3" fontId="3" fillId="0" borderId="16" xfId="0" applyNumberFormat="1" applyFont="1" applyBorder="1"/>
    <xf numFmtId="3" fontId="3" fillId="0" borderId="16" xfId="0" applyNumberFormat="1" applyFont="1" applyFill="1" applyBorder="1"/>
    <xf numFmtId="0" fontId="0" fillId="0" borderId="0" xfId="0" quotePrefix="1" applyAlignment="1">
      <alignment horizontal="left"/>
    </xf>
    <xf numFmtId="0" fontId="4" fillId="0" borderId="0" xfId="0" applyFont="1" applyFill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/>
    <xf numFmtId="3" fontId="3" fillId="0" borderId="0" xfId="0" applyNumberFormat="1" applyFont="1" applyFill="1" applyBorder="1"/>
    <xf numFmtId="0" fontId="0" fillId="0" borderId="12" xfId="0" applyBorder="1"/>
    <xf numFmtId="37" fontId="0" fillId="0" borderId="0" xfId="0" applyNumberFormat="1"/>
    <xf numFmtId="0" fontId="4" fillId="0" borderId="13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17" xfId="0" applyFont="1" applyBorder="1"/>
    <xf numFmtId="0" fontId="4" fillId="0" borderId="0" xfId="0" applyFont="1" applyBorder="1" applyAlignment="1">
      <alignment horizontal="center"/>
    </xf>
    <xf numFmtId="0" fontId="0" fillId="0" borderId="16" xfId="0" applyBorder="1"/>
    <xf numFmtId="0" fontId="3" fillId="0" borderId="0" xfId="0" applyFont="1" applyBorder="1"/>
    <xf numFmtId="0" fontId="3" fillId="0" borderId="21" xfId="0" applyFont="1" applyBorder="1"/>
    <xf numFmtId="0" fontId="3" fillId="0" borderId="0" xfId="0" applyFont="1" applyFill="1" applyBorder="1"/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16" fontId="3" fillId="0" borderId="26" xfId="0" applyNumberFormat="1" applyFont="1" applyBorder="1" applyAlignment="1">
      <alignment horizontal="center"/>
    </xf>
    <xf numFmtId="16" fontId="3" fillId="0" borderId="27" xfId="0" applyNumberFormat="1" applyFont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164" fontId="3" fillId="0" borderId="0" xfId="31" applyNumberFormat="1" applyFont="1" applyFill="1"/>
    <xf numFmtId="37" fontId="3" fillId="0" borderId="0" xfId="31" applyNumberFormat="1" applyFont="1"/>
    <xf numFmtId="37" fontId="3" fillId="0" borderId="0" xfId="0" applyNumberFormat="1" applyFont="1"/>
    <xf numFmtId="37" fontId="3" fillId="0" borderId="0" xfId="0" applyNumberFormat="1" applyFont="1" applyBorder="1"/>
    <xf numFmtId="37" fontId="3" fillId="0" borderId="0" xfId="0" applyNumberFormat="1" applyFont="1" applyFill="1"/>
    <xf numFmtId="37" fontId="3" fillId="0" borderId="0" xfId="0" applyNumberFormat="1" applyFont="1" applyFill="1" applyBorder="1"/>
    <xf numFmtId="37" fontId="3" fillId="0" borderId="16" xfId="0" applyNumberFormat="1" applyFont="1" applyBorder="1"/>
    <xf numFmtId="37" fontId="3" fillId="0" borderId="16" xfId="0" applyNumberFormat="1" applyFont="1" applyFill="1" applyBorder="1"/>
    <xf numFmtId="37" fontId="3" fillId="0" borderId="8" xfId="0" applyNumberFormat="1" applyFont="1" applyBorder="1"/>
    <xf numFmtId="3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15" fontId="3" fillId="0" borderId="0" xfId="0" applyNumberFormat="1" applyFont="1" applyAlignment="1">
      <alignment horizontal="centerContinuous"/>
    </xf>
    <xf numFmtId="0" fontId="3" fillId="0" borderId="16" xfId="0" applyFont="1" applyBorder="1" applyAlignment="1">
      <alignment horizontal="center"/>
    </xf>
    <xf numFmtId="3" fontId="3" fillId="0" borderId="12" xfId="0" applyNumberFormat="1" applyFont="1" applyBorder="1"/>
    <xf numFmtId="3" fontId="3" fillId="0" borderId="0" xfId="0" applyNumberFormat="1" applyFont="1" applyBorder="1"/>
    <xf numFmtId="3" fontId="3" fillId="0" borderId="8" xfId="0" applyNumberFormat="1" applyFont="1" applyBorder="1"/>
    <xf numFmtId="3" fontId="3" fillId="22" borderId="16" xfId="0" applyNumberFormat="1" applyFont="1" applyFill="1" applyBorder="1"/>
    <xf numFmtId="3" fontId="3" fillId="0" borderId="29" xfId="0" applyNumberFormat="1" applyFont="1" applyBorder="1"/>
    <xf numFmtId="37" fontId="3" fillId="0" borderId="0" xfId="0" applyNumberFormat="1" applyFont="1" applyAlignment="1">
      <alignment horizontal="center"/>
    </xf>
    <xf numFmtId="0" fontId="3" fillId="0" borderId="0" xfId="0" applyNumberFormat="1" applyFont="1" applyBorder="1"/>
    <xf numFmtId="16" fontId="3" fillId="0" borderId="0" xfId="0" applyNumberFormat="1" applyFont="1" applyFill="1" applyAlignment="1">
      <alignment horizontal="center"/>
    </xf>
    <xf numFmtId="37" fontId="3" fillId="0" borderId="12" xfId="0" applyNumberFormat="1" applyFont="1" applyFill="1" applyBorder="1"/>
    <xf numFmtId="37" fontId="3" fillId="0" borderId="12" xfId="0" applyNumberFormat="1" applyFont="1" applyBorder="1"/>
    <xf numFmtId="37" fontId="3" fillId="0" borderId="29" xfId="0" applyNumberFormat="1" applyFont="1" applyFill="1" applyBorder="1"/>
    <xf numFmtId="1" fontId="0" fillId="0" borderId="12" xfId="0" applyNumberFormat="1" applyBorder="1"/>
    <xf numFmtId="1" fontId="0" fillId="0" borderId="0" xfId="0" applyNumberFormat="1" applyBorder="1"/>
    <xf numFmtId="3" fontId="0" fillId="20" borderId="0" xfId="0" applyNumberFormat="1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16" xfId="0" applyFill="1" applyBorder="1"/>
    <xf numFmtId="17" fontId="3" fillId="0" borderId="0" xfId="0" quotePrefix="1" applyNumberFormat="1" applyFont="1" applyAlignment="1">
      <alignment horizontal="left"/>
    </xf>
    <xf numFmtId="17" fontId="0" fillId="0" borderId="0" xfId="0" applyNumberFormat="1" applyAlignment="1">
      <alignment horizontal="left"/>
    </xf>
    <xf numFmtId="3" fontId="3" fillId="0" borderId="16" xfId="0" applyNumberFormat="1" applyFont="1" applyBorder="1" applyAlignment="1">
      <alignment horizontal="right"/>
    </xf>
    <xf numFmtId="3" fontId="3" fillId="20" borderId="12" xfId="0" applyNumberFormat="1" applyFont="1" applyFill="1" applyBorder="1"/>
    <xf numFmtId="3" fontId="3" fillId="20" borderId="0" xfId="0" applyNumberFormat="1" applyFont="1" applyFill="1"/>
    <xf numFmtId="0" fontId="4" fillId="0" borderId="16" xfId="0" applyFont="1" applyBorder="1"/>
    <xf numFmtId="164" fontId="4" fillId="0" borderId="0" xfId="31" applyNumberFormat="1" applyFont="1" applyFill="1" applyBorder="1"/>
    <xf numFmtId="37" fontId="4" fillId="0" borderId="12" xfId="0" applyNumberFormat="1" applyFont="1" applyBorder="1"/>
    <xf numFmtId="37" fontId="4" fillId="0" borderId="0" xfId="0" applyNumberFormat="1" applyFont="1"/>
    <xf numFmtId="37" fontId="4" fillId="0" borderId="0" xfId="0" applyNumberFormat="1" applyFont="1" applyFill="1" applyBorder="1"/>
    <xf numFmtId="16" fontId="3" fillId="0" borderId="0" xfId="0" applyNumberFormat="1" applyFont="1" applyBorder="1" applyAlignment="1">
      <alignment horizontal="center"/>
    </xf>
    <xf numFmtId="0" fontId="4" fillId="0" borderId="22" xfId="0" applyFont="1" applyBorder="1"/>
    <xf numFmtId="0" fontId="4" fillId="0" borderId="14" xfId="0" applyFont="1" applyBorder="1"/>
    <xf numFmtId="37" fontId="0" fillId="0" borderId="16" xfId="0" applyNumberFormat="1" applyBorder="1"/>
    <xf numFmtId="0" fontId="6" fillId="0" borderId="0" xfId="0" applyFont="1" applyBorder="1"/>
    <xf numFmtId="0" fontId="4" fillId="0" borderId="15" xfId="0" applyFont="1" applyBorder="1"/>
    <xf numFmtId="0" fontId="4" fillId="2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3" fillId="0" borderId="24" xfId="0" applyFont="1" applyBorder="1"/>
    <xf numFmtId="0" fontId="3" fillId="0" borderId="25" xfId="0" applyFont="1" applyBorder="1"/>
    <xf numFmtId="0" fontId="11" fillId="0" borderId="0" xfId="0" applyFont="1"/>
    <xf numFmtId="37" fontId="4" fillId="0" borderId="16" xfId="0" applyNumberFormat="1" applyFont="1" applyBorder="1"/>
    <xf numFmtId="37" fontId="4" fillId="0" borderId="0" xfId="0" applyNumberFormat="1" applyFont="1" applyFill="1"/>
    <xf numFmtId="37" fontId="3" fillId="0" borderId="16" xfId="0" applyNumberFormat="1" applyFont="1" applyBorder="1" applyAlignment="1">
      <alignment horizontal="right"/>
    </xf>
    <xf numFmtId="37" fontId="4" fillId="0" borderId="8" xfId="0" applyNumberFormat="1" applyFont="1" applyBorder="1"/>
    <xf numFmtId="37" fontId="4" fillId="20" borderId="0" xfId="0" applyNumberFormat="1" applyFont="1" applyFill="1"/>
    <xf numFmtId="37" fontId="3" fillId="21" borderId="0" xfId="0" applyNumberFormat="1" applyFont="1" applyFill="1"/>
    <xf numFmtId="37" fontId="4" fillId="0" borderId="12" xfId="0" applyNumberFormat="1" applyFont="1" applyFill="1" applyBorder="1"/>
    <xf numFmtId="37" fontId="4" fillId="20" borderId="12" xfId="0" applyNumberFormat="1" applyFont="1" applyFill="1" applyBorder="1"/>
    <xf numFmtId="15" fontId="3" fillId="0" borderId="24" xfId="0" applyNumberFormat="1" applyFont="1" applyBorder="1" applyAlignment="1">
      <alignment horizontal="centerContinuous"/>
    </xf>
    <xf numFmtId="15" fontId="3" fillId="0" borderId="25" xfId="0" applyNumberFormat="1" applyFont="1" applyBorder="1" applyAlignment="1">
      <alignment horizontal="centerContinuous"/>
    </xf>
    <xf numFmtId="0" fontId="12" fillId="0" borderId="0" xfId="0" applyFont="1"/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4" fillId="0" borderId="0" xfId="0" applyNumberFormat="1" applyFont="1" applyBorder="1"/>
    <xf numFmtId="3" fontId="4" fillId="0" borderId="12" xfId="0" applyNumberFormat="1" applyFont="1" applyBorder="1"/>
    <xf numFmtId="37" fontId="4" fillId="0" borderId="0" xfId="0" applyNumberFormat="1" applyFont="1" applyBorder="1"/>
    <xf numFmtId="37" fontId="0" fillId="0" borderId="12" xfId="0" applyNumberFormat="1" applyBorder="1"/>
    <xf numFmtId="0" fontId="4" fillId="20" borderId="0" xfId="0" applyFont="1" applyFill="1"/>
    <xf numFmtId="0" fontId="0" fillId="19" borderId="0" xfId="0" applyFill="1"/>
    <xf numFmtId="0" fontId="4" fillId="20" borderId="14" xfId="0" applyFont="1" applyFill="1" applyBorder="1" applyAlignment="1">
      <alignment horizontal="center"/>
    </xf>
    <xf numFmtId="37" fontId="4" fillId="0" borderId="13" xfId="0" applyNumberFormat="1" applyFont="1" applyBorder="1"/>
    <xf numFmtId="37" fontId="4" fillId="0" borderId="15" xfId="0" applyNumberFormat="1" applyFont="1" applyBorder="1"/>
    <xf numFmtId="37" fontId="4" fillId="0" borderId="17" xfId="0" applyNumberFormat="1" applyFont="1" applyBorder="1"/>
    <xf numFmtId="164" fontId="4" fillId="0" borderId="15" xfId="31" applyNumberFormat="1" applyFont="1" applyFill="1" applyBorder="1"/>
    <xf numFmtId="164" fontId="4" fillId="0" borderId="16" xfId="31" applyNumberFormat="1" applyFont="1" applyFill="1" applyBorder="1"/>
    <xf numFmtId="37" fontId="4" fillId="0" borderId="14" xfId="0" applyNumberFormat="1" applyFont="1" applyFill="1" applyBorder="1"/>
    <xf numFmtId="37" fontId="4" fillId="0" borderId="13" xfId="0" applyNumberFormat="1" applyFont="1" applyFill="1" applyBorder="1"/>
    <xf numFmtId="37" fontId="9" fillId="0" borderId="15" xfId="0" applyNumberFormat="1" applyFont="1" applyBorder="1"/>
    <xf numFmtId="37" fontId="9" fillId="0" borderId="16" xfId="0" applyNumberFormat="1" applyFont="1" applyBorder="1"/>
    <xf numFmtId="37" fontId="9" fillId="0" borderId="17" xfId="0" applyNumberFormat="1" applyFont="1" applyBorder="1"/>
    <xf numFmtId="164" fontId="4" fillId="0" borderId="21" xfId="31" applyNumberFormat="1" applyFont="1" applyFill="1" applyBorder="1"/>
    <xf numFmtId="164" fontId="4" fillId="0" borderId="22" xfId="31" applyNumberFormat="1" applyFont="1" applyFill="1" applyBorder="1"/>
    <xf numFmtId="164" fontId="4" fillId="0" borderId="23" xfId="31" applyNumberFormat="1" applyFont="1" applyFill="1" applyBorder="1"/>
    <xf numFmtId="37" fontId="4" fillId="0" borderId="21" xfId="0" applyNumberFormat="1" applyFont="1" applyFill="1" applyBorder="1"/>
    <xf numFmtId="37" fontId="4" fillId="0" borderId="22" xfId="0" applyNumberFormat="1" applyFont="1" applyFill="1" applyBorder="1"/>
    <xf numFmtId="37" fontId="4" fillId="0" borderId="23" xfId="0" applyNumberFormat="1" applyFont="1" applyFill="1" applyBorder="1"/>
    <xf numFmtId="37" fontId="4" fillId="0" borderId="21" xfId="0" applyNumberFormat="1" applyFont="1" applyBorder="1"/>
    <xf numFmtId="37" fontId="4" fillId="0" borderId="22" xfId="0" applyNumberFormat="1" applyFont="1" applyBorder="1"/>
    <xf numFmtId="37" fontId="4" fillId="0" borderId="23" xfId="0" applyNumberFormat="1" applyFont="1" applyBorder="1"/>
    <xf numFmtId="164" fontId="0" fillId="0" borderId="0" xfId="0" applyNumberFormat="1"/>
    <xf numFmtId="0" fontId="4" fillId="23" borderId="0" xfId="0" applyFont="1" applyFill="1"/>
    <xf numFmtId="37" fontId="3" fillId="23" borderId="0" xfId="0" applyNumberFormat="1" applyFont="1" applyFill="1"/>
    <xf numFmtId="37" fontId="4" fillId="23" borderId="14" xfId="0" applyNumberFormat="1" applyFont="1" applyFill="1" applyBorder="1"/>
    <xf numFmtId="37" fontId="4" fillId="23" borderId="0" xfId="0" applyNumberFormat="1" applyFont="1" applyFill="1" applyBorder="1"/>
    <xf numFmtId="37" fontId="4" fillId="23" borderId="13" xfId="0" applyNumberFormat="1" applyFont="1" applyFill="1" applyBorder="1"/>
    <xf numFmtId="164" fontId="4" fillId="23" borderId="14" xfId="31" applyNumberFormat="1" applyFont="1" applyFill="1" applyBorder="1"/>
    <xf numFmtId="0" fontId="4" fillId="23" borderId="0" xfId="0" applyFont="1" applyFill="1" applyBorder="1"/>
    <xf numFmtId="37" fontId="4" fillId="23" borderId="0" xfId="0" applyNumberFormat="1" applyFont="1" applyFill="1"/>
    <xf numFmtId="164" fontId="4" fillId="23" borderId="0" xfId="31" applyNumberFormat="1" applyFont="1" applyFill="1" applyBorder="1"/>
    <xf numFmtId="0" fontId="0" fillId="23" borderId="0" xfId="0" applyFill="1"/>
    <xf numFmtId="0" fontId="3" fillId="23" borderId="0" xfId="0" applyFont="1" applyFill="1"/>
    <xf numFmtId="0" fontId="3" fillId="0" borderId="0" xfId="0" applyFont="1" applyBorder="1" applyAlignment="1">
      <alignment horizontal="right"/>
    </xf>
    <xf numFmtId="37" fontId="3" fillId="0" borderId="0" xfId="31" applyNumberFormat="1" applyFont="1" applyFill="1"/>
    <xf numFmtId="0" fontId="0" fillId="0" borderId="19" xfId="0" applyBorder="1"/>
    <xf numFmtId="0" fontId="0" fillId="0" borderId="20" xfId="0" applyBorder="1"/>
    <xf numFmtId="37" fontId="4" fillId="0" borderId="14" xfId="31" applyNumberFormat="1" applyFont="1" applyFill="1" applyBorder="1"/>
    <xf numFmtId="37" fontId="4" fillId="0" borderId="0" xfId="31" applyNumberFormat="1" applyFont="1" applyFill="1" applyBorder="1"/>
    <xf numFmtId="37" fontId="4" fillId="0" borderId="13" xfId="31" applyNumberFormat="1" applyFont="1" applyFill="1" applyBorder="1"/>
    <xf numFmtId="37" fontId="4" fillId="0" borderId="21" xfId="31" applyNumberFormat="1" applyFont="1" applyFill="1" applyBorder="1"/>
    <xf numFmtId="37" fontId="4" fillId="0" borderId="22" xfId="31" applyNumberFormat="1" applyFont="1" applyFill="1" applyBorder="1"/>
    <xf numFmtId="37" fontId="4" fillId="0" borderId="23" xfId="31" applyNumberFormat="1" applyFont="1" applyFill="1" applyBorder="1"/>
    <xf numFmtId="37" fontId="4" fillId="23" borderId="14" xfId="31" applyNumberFormat="1" applyFont="1" applyFill="1" applyBorder="1"/>
    <xf numFmtId="37" fontId="3" fillId="0" borderId="16" xfId="31" applyNumberFormat="1" applyFont="1" applyFill="1" applyBorder="1"/>
    <xf numFmtId="37" fontId="6" fillId="0" borderId="0" xfId="31" applyNumberFormat="1" applyFont="1" applyFill="1"/>
    <xf numFmtId="0" fontId="10" fillId="0" borderId="0" xfId="0" applyFont="1" applyAlignment="1">
      <alignment horizontal="center"/>
    </xf>
    <xf numFmtId="39" fontId="3" fillId="0" borderId="0" xfId="0" applyNumberFormat="1" applyFont="1" applyFill="1"/>
    <xf numFmtId="3" fontId="3" fillId="0" borderId="29" xfId="0" applyNumberFormat="1" applyFont="1" applyFill="1" applyBorder="1"/>
    <xf numFmtId="0" fontId="3" fillId="0" borderId="32" xfId="0" applyFont="1" applyBorder="1" applyAlignment="1">
      <alignment horizontal="center" wrapText="1"/>
    </xf>
    <xf numFmtId="43" fontId="0" fillId="0" borderId="0" xfId="31" applyFont="1"/>
    <xf numFmtId="0" fontId="10" fillId="0" borderId="0" xfId="0" quotePrefix="1" applyFont="1" applyAlignment="1">
      <alignment horizontal="left"/>
    </xf>
    <xf numFmtId="43" fontId="10" fillId="0" borderId="0" xfId="31" applyFont="1"/>
    <xf numFmtId="43" fontId="0" fillId="0" borderId="18" xfId="31" applyFont="1" applyBorder="1"/>
    <xf numFmtId="43" fontId="0" fillId="0" borderId="33" xfId="31" applyFont="1" applyBorder="1"/>
    <xf numFmtId="39" fontId="3" fillId="0" borderId="0" xfId="0" applyNumberFormat="1" applyFont="1" applyAlignment="1">
      <alignment horizontal="right"/>
    </xf>
    <xf numFmtId="39" fontId="3" fillId="0" borderId="0" xfId="0" applyNumberFormat="1" applyFont="1" applyFill="1" applyAlignment="1">
      <alignment horizontal="right"/>
    </xf>
    <xf numFmtId="17" fontId="0" fillId="0" borderId="0" xfId="0" quotePrefix="1" applyNumberForma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</cellXfs>
  <cellStyles count="64">
    <cellStyle name="%" xfId="1"/>
    <cellStyle name="??&amp;O?&amp;H?_x0008_??_x0007__x0001__x0001_" xfId="2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60% - Accent1" xfId="15" builtinId="32" customBuiltin="1"/>
    <cellStyle name="60% - Accent2" xfId="16" builtinId="36" customBuiltin="1"/>
    <cellStyle name="60% - Accent3" xfId="17" builtinId="40" customBuiltin="1"/>
    <cellStyle name="60% - Accent4" xfId="18" builtinId="44" customBuiltin="1"/>
    <cellStyle name="60% - Accent5" xfId="19" builtinId="48" customBuiltin="1"/>
    <cellStyle name="60% - Accent6" xfId="20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ategory" xfId="29"/>
    <cellStyle name="Check Cell" xfId="30" builtinId="23" customBuiltin="1"/>
    <cellStyle name="Comma" xfId="31" builtinId="3"/>
    <cellStyle name="Euro" xfId="32"/>
    <cellStyle name="Explanatory Text" xfId="33" builtinId="53" customBuiltin="1"/>
    <cellStyle name="Good" xfId="34" builtinId="26" customBuiltin="1"/>
    <cellStyle name="Grey" xfId="35"/>
    <cellStyle name="HEADER" xfId="36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1" builtinId="20" customBuiltin="1"/>
    <cellStyle name="Input [yellow]" xfId="42"/>
    <cellStyle name="Linked Cell" xfId="43" builtinId="24" customBuiltin="1"/>
    <cellStyle name="Model" xfId="44"/>
    <cellStyle name="Moeda [0]_Alcanbrasil" xfId="45"/>
    <cellStyle name="Moeda_Alcanbrasil" xfId="46"/>
    <cellStyle name="Neutral" xfId="47" builtinId="28" customBuiltin="1"/>
    <cellStyle name="Normal" xfId="0" builtinId="0"/>
    <cellStyle name="Normal - Style1" xfId="48"/>
    <cellStyle name="Note" xfId="49" builtinId="10" customBuiltin="1"/>
    <cellStyle name="Output" xfId="50" builtinId="21" customBuiltin="1"/>
    <cellStyle name="Percent [2]" xfId="51"/>
    <cellStyle name="Style 1" xfId="52"/>
    <cellStyle name="subhead" xfId="53"/>
    <cellStyle name="Title" xfId="54" builtinId="15" customBuiltin="1"/>
    <cellStyle name="Total" xfId="55" builtinId="25" customBuiltin="1"/>
    <cellStyle name="Valuta (0)_CoAVer25" xfId="56"/>
    <cellStyle name="Valuta_CoAVer25" xfId="57"/>
    <cellStyle name="Warning Text" xfId="58" builtinId="11" customBuiltin="1"/>
    <cellStyle name="쉼표 [0]_Capital Plan &amp; Forecast For Yr2002" xfId="59"/>
    <cellStyle name="쉼표_ATA 2001 plan(rev 1-1)" xfId="60"/>
    <cellStyle name="콤마 [0]_10월2주 " xfId="61"/>
    <cellStyle name="콤마_10월2주 " xfId="62"/>
    <cellStyle name="표준_~5874816" xfId="6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Treasury/Forex/FX%20rpt_jan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trick\My%20Documents\EXCEL\Ansc\Audit%20&amp;%20Tax\2001\PW-TAX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chong\blchong_c\ACCOUNT\CHONG\PMR\PMR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s\LIZA\Asset\Disposal_J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chong\blchong_c\Account\alcom99\MGT99\RCM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chong\blchong_c\Account\alcom99\MGT99\F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v00/Spc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patrick/2003%20yr%20end%20account%20&amp;%20taxation/cons03-Dec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_alcom"/>
      <sheetName val="analysis_alcom"/>
      <sheetName val="completed_alcom"/>
      <sheetName val="outstanding_alcom"/>
      <sheetName val="rate"/>
      <sheetName val="summary_aesb"/>
      <sheetName val="analysis_aesb"/>
      <sheetName val="outstanding_aes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"/>
      <sheetName val="1. P&amp;L"/>
      <sheetName val="2. Manufacturing"/>
      <sheetName val="3. exchange"/>
      <sheetName val="4. travelling"/>
      <sheetName val="5. expat benefits"/>
      <sheetName val="6. commission"/>
      <sheetName val="7. bonus"/>
      <sheetName val="9. W-Tax"/>
      <sheetName val="10. waste disposal"/>
      <sheetName val="11. analysis of provisions"/>
      <sheetName val="12. Form C Part P"/>
      <sheetName val="13. Banks"/>
      <sheetName val="14. import"/>
      <sheetName val="15. export"/>
      <sheetName val="16. capital items chrg off"/>
      <sheetName val="eohs exp"/>
      <sheetName val="membership &amp; licence"/>
      <sheetName val="miscellaneous"/>
      <sheetName val="computer software"/>
      <sheetName val="op supplies"/>
      <sheetName val="entertainment"/>
      <sheetName val="R&amp;M"/>
      <sheetName val="gifts &amp; samples"/>
      <sheetName val="office exp"/>
      <sheetName val="Paint development"/>
      <sheetName val="payables"/>
      <sheetName val="Raw mat"/>
      <sheetName val="bonus provision"/>
      <sheetName val="interest expenses"/>
      <sheetName val="promotion for export-detail"/>
      <sheetName val="promotion of export-summary"/>
      <sheetName val="sales"/>
      <sheetName val="COGSrecon"/>
      <sheetName val="P&amp;L"/>
      <sheetName val="asset addition 2001"/>
      <sheetName val="asset addition 2000"/>
      <sheetName val="DNote for insur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asterDirectCost permt"/>
      <sheetName val="RollingDirectCost permt"/>
      <sheetName val="PMR7&amp;8(W)"/>
      <sheetName val="Boo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sposal-2006-06 (611a)"/>
      <sheetName val="disposal-2006-06 (0611)"/>
      <sheetName val="disposal-2006-4 (0411)"/>
      <sheetName val="disposal-2005-12 (1211C)"/>
      <sheetName val="disposal-2005-12 (1211B) "/>
      <sheetName val="disposal-2005-12 (1211A)"/>
      <sheetName val="disposal-2005-12 (1211)"/>
      <sheetName val="disposal-2005-11 (1111A)"/>
      <sheetName val="disposal-2005-11 (1111)"/>
      <sheetName val="disposal-2005-05 (0511A)"/>
      <sheetName val="disposal-2005-05 (0511)"/>
      <sheetName val="disposal-2005-03 (JV0311B)"/>
      <sheetName val="Adj Jv 2005-03"/>
      <sheetName val="disposal-2005-03"/>
      <sheetName val="disposal-2005-02(Jv0211)"/>
      <sheetName val="disposal-2004-10 a"/>
      <sheetName val="disposal-2004-10"/>
      <sheetName val="disposal-2004-08"/>
      <sheetName val="disposal-2004-07"/>
      <sheetName val="disposal-2004-05"/>
      <sheetName val="disposal-1211"/>
      <sheetName val="disposal-1111A"/>
      <sheetName val="disposal-1111"/>
      <sheetName val="disposal-0911 "/>
      <sheetName val="disposal-0811"/>
      <sheetName val="disposal-2303"/>
      <sheetName val="disposal-2212"/>
      <sheetName val="disposal-2211"/>
      <sheetName val="disposal-22(0911b)"/>
      <sheetName val="disposal-22(0911a)"/>
      <sheetName val="disposal-2208"/>
      <sheetName val="disposal-2207"/>
      <sheetName val="Disposal-2207a"/>
      <sheetName val="Disposal-2112 a"/>
      <sheetName val="Disposal-2112 "/>
      <sheetName val="Disposal-2102"/>
      <sheetName val="Disposal-2101"/>
      <sheetName val="Disposal (dec)"/>
      <sheetName val="Disposal-dec00"/>
      <sheetName val="Disposal-oct00"/>
      <sheetName val="Disposal-may00 (2)"/>
      <sheetName val="Disposal-may00"/>
      <sheetName val="Disposal - apr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CMI-15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FF-1"/>
    </sheetNames>
    <sheetDataSet>
      <sheetData sheetId="0" refreshError="1">
        <row r="1">
          <cell r="A1" t="str">
            <v>alcom - Sheet &amp; Foil Division</v>
          </cell>
        </row>
        <row r="2">
          <cell r="A2" t="str">
            <v xml:space="preserve">Realizations , Cost , Margins , &amp; Inventory </v>
          </cell>
        </row>
        <row r="3">
          <cell r="A3">
            <v>36192</v>
          </cell>
        </row>
        <row r="6">
          <cell r="A6" t="str">
            <v>Realizations , Cost &amp; Margins</v>
          </cell>
          <cell r="D6" t="str">
            <v>Mth</v>
          </cell>
          <cell r="E6" t="str">
            <v>Real</v>
          </cell>
          <cell r="F6" t="str">
            <v>Costs</v>
          </cell>
          <cell r="G6" t="str">
            <v>Margin</v>
          </cell>
          <cell r="H6" t="str">
            <v>%</v>
          </cell>
          <cell r="I6" t="str">
            <v>% of Export</v>
          </cell>
        </row>
        <row r="7">
          <cell r="D7">
            <v>35827</v>
          </cell>
          <cell r="E7">
            <v>9839</v>
          </cell>
          <cell r="F7">
            <v>7380</v>
          </cell>
          <cell r="G7">
            <v>2459</v>
          </cell>
          <cell r="H7">
            <v>0.24992377274113223</v>
          </cell>
          <cell r="I7">
            <v>0.66700000000000004</v>
          </cell>
        </row>
        <row r="8">
          <cell r="D8">
            <v>35855</v>
          </cell>
          <cell r="E8">
            <v>9654</v>
          </cell>
          <cell r="F8">
            <v>7506</v>
          </cell>
          <cell r="G8">
            <v>2148</v>
          </cell>
          <cell r="H8">
            <v>0.22249844623990056</v>
          </cell>
          <cell r="I8">
            <v>0.68500000000000005</v>
          </cell>
        </row>
        <row r="9">
          <cell r="D9">
            <v>35886</v>
          </cell>
          <cell r="E9">
            <v>9597</v>
          </cell>
          <cell r="F9">
            <v>7282</v>
          </cell>
          <cell r="G9">
            <v>2315</v>
          </cell>
          <cell r="H9">
            <v>0.24122121496300927</v>
          </cell>
          <cell r="I9">
            <v>0.73652657601977756</v>
          </cell>
        </row>
        <row r="10">
          <cell r="D10">
            <v>35916</v>
          </cell>
          <cell r="E10">
            <v>9594</v>
          </cell>
          <cell r="F10">
            <v>7251</v>
          </cell>
          <cell r="G10">
            <v>2343</v>
          </cell>
          <cell r="H10">
            <v>0.244215134459037</v>
          </cell>
          <cell r="I10">
            <v>0.75682749203459265</v>
          </cell>
        </row>
        <row r="11">
          <cell r="D11">
            <v>35947</v>
          </cell>
          <cell r="E11">
            <v>9668</v>
          </cell>
          <cell r="F11">
            <v>7170</v>
          </cell>
          <cell r="G11">
            <v>2498</v>
          </cell>
          <cell r="H11">
            <v>0.2583781547372776</v>
          </cell>
          <cell r="I11">
            <v>0.72144417319799559</v>
          </cell>
        </row>
        <row r="12">
          <cell r="D12">
            <v>35977</v>
          </cell>
          <cell r="E12">
            <v>9213</v>
          </cell>
          <cell r="F12">
            <v>6780</v>
          </cell>
          <cell r="G12">
            <v>2433</v>
          </cell>
          <cell r="H12">
            <v>0.26408336046890263</v>
          </cell>
          <cell r="I12">
            <v>0.65235933415875635</v>
          </cell>
        </row>
        <row r="13">
          <cell r="D13">
            <v>36008</v>
          </cell>
          <cell r="E13">
            <v>9272</v>
          </cell>
          <cell r="F13">
            <v>6752</v>
          </cell>
          <cell r="G13">
            <v>2520</v>
          </cell>
          <cell r="H13">
            <v>0.27178602243313199</v>
          </cell>
          <cell r="I13">
            <v>0.71308095952023987</v>
          </cell>
        </row>
        <row r="14">
          <cell r="D14">
            <v>36039</v>
          </cell>
          <cell r="E14">
            <v>8825</v>
          </cell>
          <cell r="F14">
            <v>6726</v>
          </cell>
          <cell r="G14">
            <v>2099</v>
          </cell>
          <cell r="H14">
            <v>0.23784702549575071</v>
          </cell>
          <cell r="I14">
            <v>0.6865889212827988</v>
          </cell>
        </row>
        <row r="15">
          <cell r="D15">
            <v>36069</v>
          </cell>
          <cell r="E15">
            <v>8831</v>
          </cell>
          <cell r="F15">
            <v>6640</v>
          </cell>
          <cell r="G15">
            <v>2191</v>
          </cell>
          <cell r="H15">
            <v>0.2481032725625637</v>
          </cell>
          <cell r="I15">
            <v>0.73832256589102963</v>
          </cell>
        </row>
        <row r="16">
          <cell r="D16">
            <v>36100</v>
          </cell>
          <cell r="E16">
            <v>8845</v>
          </cell>
          <cell r="F16">
            <v>6559</v>
          </cell>
          <cell r="G16">
            <v>2286</v>
          </cell>
          <cell r="H16">
            <v>0.25845110231769364</v>
          </cell>
          <cell r="I16">
            <v>0.68408401533794994</v>
          </cell>
        </row>
        <row r="17">
          <cell r="D17">
            <v>36130</v>
          </cell>
          <cell r="E17">
            <v>8863</v>
          </cell>
          <cell r="F17">
            <v>6470</v>
          </cell>
          <cell r="G17">
            <v>2393</v>
          </cell>
          <cell r="H17">
            <v>0.26999887171386666</v>
          </cell>
          <cell r="I17">
            <v>0.72081131753877625</v>
          </cell>
        </row>
        <row r="18">
          <cell r="D18">
            <v>36161</v>
          </cell>
          <cell r="E18">
            <v>8646</v>
          </cell>
          <cell r="F18">
            <v>6460</v>
          </cell>
          <cell r="G18">
            <v>2186</v>
          </cell>
          <cell r="H18">
            <v>0.25283368031459635</v>
          </cell>
          <cell r="I18">
            <v>0.74829590299203563</v>
          </cell>
        </row>
        <row r="19">
          <cell r="D19">
            <v>36192</v>
          </cell>
          <cell r="E19">
            <v>8558</v>
          </cell>
          <cell r="F19">
            <v>6284</v>
          </cell>
          <cell r="G19">
            <v>2274</v>
          </cell>
          <cell r="H19">
            <v>0.26571628885253562</v>
          </cell>
          <cell r="I19">
            <v>0.69928915057083363</v>
          </cell>
        </row>
        <row r="21">
          <cell r="F21" t="str">
            <v>Caster</v>
          </cell>
        </row>
        <row r="22">
          <cell r="A22" t="str">
            <v>Inventory</v>
          </cell>
          <cell r="D22" t="str">
            <v>Mth</v>
          </cell>
          <cell r="E22" t="str">
            <v>MIT</v>
          </cell>
          <cell r="F22" t="str">
            <v>RM , Scarp &amp; Caster</v>
          </cell>
          <cell r="G22" t="str">
            <v>Reroll &amp; WIP</v>
          </cell>
          <cell r="H22" t="str">
            <v>FG</v>
          </cell>
          <cell r="I22" t="str">
            <v xml:space="preserve">Total </v>
          </cell>
          <cell r="J22" t="str">
            <v>Inv. Turn(Incl. MIT)</v>
          </cell>
        </row>
        <row r="23">
          <cell r="D23">
            <v>35827</v>
          </cell>
          <cell r="E23">
            <v>422</v>
          </cell>
          <cell r="F23">
            <v>761</v>
          </cell>
          <cell r="G23">
            <v>1544</v>
          </cell>
          <cell r="H23">
            <v>610</v>
          </cell>
          <cell r="I23">
            <v>3337</v>
          </cell>
          <cell r="J23">
            <v>5.43</v>
          </cell>
        </row>
        <row r="24">
          <cell r="D24">
            <v>35855</v>
          </cell>
          <cell r="E24">
            <v>363</v>
          </cell>
          <cell r="F24">
            <v>583</v>
          </cell>
          <cell r="G24">
            <v>1688</v>
          </cell>
          <cell r="H24">
            <v>587</v>
          </cell>
          <cell r="I24">
            <v>3221</v>
          </cell>
          <cell r="J24">
            <v>5.29</v>
          </cell>
        </row>
        <row r="25">
          <cell r="D25">
            <v>35886</v>
          </cell>
          <cell r="E25">
            <v>21</v>
          </cell>
          <cell r="F25">
            <v>778</v>
          </cell>
          <cell r="G25">
            <v>1385</v>
          </cell>
          <cell r="H25">
            <v>705</v>
          </cell>
          <cell r="I25">
            <v>2889</v>
          </cell>
          <cell r="J25">
            <v>6.25</v>
          </cell>
        </row>
        <row r="26">
          <cell r="D26">
            <v>35916</v>
          </cell>
          <cell r="E26">
            <v>57</v>
          </cell>
          <cell r="F26">
            <v>613</v>
          </cell>
          <cell r="G26">
            <v>1321</v>
          </cell>
          <cell r="H26">
            <v>568</v>
          </cell>
          <cell r="I26">
            <v>2558</v>
          </cell>
          <cell r="J26">
            <v>7.12</v>
          </cell>
        </row>
        <row r="27">
          <cell r="D27">
            <v>35947</v>
          </cell>
          <cell r="E27">
            <v>13</v>
          </cell>
          <cell r="F27">
            <v>899</v>
          </cell>
          <cell r="G27">
            <v>1152</v>
          </cell>
          <cell r="H27">
            <v>486.911</v>
          </cell>
          <cell r="I27">
            <v>2549.9110000000001</v>
          </cell>
          <cell r="J27">
            <v>7.69</v>
          </cell>
        </row>
        <row r="28">
          <cell r="D28">
            <v>35977</v>
          </cell>
          <cell r="E28">
            <v>1</v>
          </cell>
          <cell r="F28">
            <v>578</v>
          </cell>
          <cell r="G28">
            <v>1432</v>
          </cell>
          <cell r="H28">
            <v>546</v>
          </cell>
          <cell r="I28">
            <v>2557</v>
          </cell>
          <cell r="J28">
            <v>7.86</v>
          </cell>
        </row>
        <row r="29">
          <cell r="D29">
            <v>36008</v>
          </cell>
          <cell r="E29">
            <v>4</v>
          </cell>
          <cell r="F29">
            <v>388</v>
          </cell>
          <cell r="G29">
            <v>1701</v>
          </cell>
          <cell r="H29">
            <v>620</v>
          </cell>
          <cell r="I29">
            <v>2713</v>
          </cell>
          <cell r="J29">
            <v>7.54</v>
          </cell>
        </row>
        <row r="30">
          <cell r="D30">
            <v>36039</v>
          </cell>
          <cell r="E30">
            <v>7</v>
          </cell>
          <cell r="F30">
            <v>707</v>
          </cell>
          <cell r="G30">
            <v>1785</v>
          </cell>
          <cell r="H30">
            <v>572</v>
          </cell>
          <cell r="I30">
            <v>3071</v>
          </cell>
          <cell r="J30">
            <v>7.44</v>
          </cell>
        </row>
        <row r="31">
          <cell r="D31">
            <v>36069</v>
          </cell>
          <cell r="E31">
            <v>10</v>
          </cell>
          <cell r="F31">
            <v>810.92499999999995</v>
          </cell>
          <cell r="G31">
            <v>1616.0059999999999</v>
          </cell>
          <cell r="H31">
            <v>506</v>
          </cell>
          <cell r="I31">
            <v>2942.9309999999996</v>
          </cell>
          <cell r="J31">
            <v>7.66</v>
          </cell>
        </row>
        <row r="32">
          <cell r="D32">
            <v>36100</v>
          </cell>
          <cell r="E32">
            <v>7</v>
          </cell>
          <cell r="F32">
            <v>623</v>
          </cell>
          <cell r="G32">
            <v>1400</v>
          </cell>
          <cell r="H32">
            <v>546</v>
          </cell>
          <cell r="I32">
            <v>2576</v>
          </cell>
          <cell r="J32">
            <v>8.1300000000000008</v>
          </cell>
        </row>
        <row r="33">
          <cell r="D33">
            <v>36130</v>
          </cell>
          <cell r="E33">
            <v>13</v>
          </cell>
          <cell r="F33">
            <v>873.9</v>
          </cell>
          <cell r="G33">
            <v>1519</v>
          </cell>
          <cell r="H33">
            <v>461</v>
          </cell>
          <cell r="I33">
            <v>2866.9</v>
          </cell>
          <cell r="J33">
            <v>8.5</v>
          </cell>
        </row>
        <row r="34">
          <cell r="D34">
            <v>36161</v>
          </cell>
          <cell r="E34">
            <v>0</v>
          </cell>
          <cell r="F34">
            <v>943</v>
          </cell>
          <cell r="G34">
            <v>1398</v>
          </cell>
          <cell r="H34">
            <v>538</v>
          </cell>
          <cell r="I34">
            <v>2879</v>
          </cell>
          <cell r="J34">
            <v>8.0399999999999991</v>
          </cell>
        </row>
        <row r="35">
          <cell r="D35">
            <v>36192</v>
          </cell>
          <cell r="E35">
            <v>62</v>
          </cell>
          <cell r="F35">
            <v>575</v>
          </cell>
          <cell r="G35">
            <v>1696</v>
          </cell>
          <cell r="H35">
            <v>595</v>
          </cell>
          <cell r="I35">
            <v>2929</v>
          </cell>
          <cell r="J35">
            <v>7.23</v>
          </cell>
        </row>
        <row r="38">
          <cell r="H38" t="str">
            <v>Sales</v>
          </cell>
        </row>
        <row r="39">
          <cell r="A39" t="str">
            <v>Production &amp; Sales Volume</v>
          </cell>
          <cell r="D39" t="str">
            <v>Mth</v>
          </cell>
          <cell r="E39" t="str">
            <v xml:space="preserve">Sheet </v>
          </cell>
          <cell r="F39" t="str">
            <v>Foil</v>
          </cell>
          <cell r="G39" t="str">
            <v>Total</v>
          </cell>
          <cell r="H39" t="str">
            <v>Volume</v>
          </cell>
        </row>
        <row r="40">
          <cell r="D40">
            <v>35827</v>
          </cell>
          <cell r="E40">
            <v>782</v>
          </cell>
          <cell r="F40">
            <v>835</v>
          </cell>
          <cell r="G40">
            <v>1617</v>
          </cell>
          <cell r="H40">
            <v>1609</v>
          </cell>
        </row>
        <row r="41">
          <cell r="D41">
            <v>35855</v>
          </cell>
          <cell r="E41">
            <v>775</v>
          </cell>
          <cell r="F41">
            <v>859</v>
          </cell>
          <cell r="G41">
            <v>1634</v>
          </cell>
          <cell r="H41">
            <v>1626</v>
          </cell>
        </row>
        <row r="42">
          <cell r="D42">
            <v>35886</v>
          </cell>
          <cell r="E42">
            <v>865</v>
          </cell>
          <cell r="F42">
            <v>1003</v>
          </cell>
          <cell r="G42">
            <v>1868</v>
          </cell>
          <cell r="H42">
            <v>1686</v>
          </cell>
        </row>
        <row r="43">
          <cell r="D43">
            <v>35916</v>
          </cell>
          <cell r="E43">
            <v>703</v>
          </cell>
          <cell r="F43">
            <v>1062</v>
          </cell>
          <cell r="G43">
            <v>1765</v>
          </cell>
          <cell r="H43">
            <v>1832</v>
          </cell>
        </row>
        <row r="44">
          <cell r="D44">
            <v>35947</v>
          </cell>
          <cell r="E44">
            <v>704</v>
          </cell>
          <cell r="F44">
            <v>905</v>
          </cell>
          <cell r="G44">
            <v>1609</v>
          </cell>
          <cell r="H44">
            <v>1610</v>
          </cell>
        </row>
        <row r="45">
          <cell r="D45">
            <v>35977</v>
          </cell>
          <cell r="E45">
            <v>821</v>
          </cell>
          <cell r="F45">
            <v>887</v>
          </cell>
          <cell r="G45">
            <v>1708</v>
          </cell>
          <cell r="H45">
            <v>1578</v>
          </cell>
        </row>
        <row r="46">
          <cell r="D46">
            <v>36008</v>
          </cell>
          <cell r="E46">
            <v>1036</v>
          </cell>
          <cell r="F46">
            <v>820</v>
          </cell>
          <cell r="G46">
            <v>1856</v>
          </cell>
          <cell r="H46">
            <v>1726</v>
          </cell>
        </row>
        <row r="47">
          <cell r="D47">
            <v>36039</v>
          </cell>
          <cell r="E47">
            <v>1016</v>
          </cell>
          <cell r="F47">
            <v>840</v>
          </cell>
          <cell r="G47">
            <v>1856</v>
          </cell>
          <cell r="H47">
            <v>1865</v>
          </cell>
        </row>
        <row r="48">
          <cell r="D48">
            <v>36069</v>
          </cell>
          <cell r="E48">
            <v>918</v>
          </cell>
          <cell r="F48">
            <v>1113</v>
          </cell>
          <cell r="G48">
            <v>2031</v>
          </cell>
          <cell r="H48">
            <v>1981</v>
          </cell>
        </row>
        <row r="49">
          <cell r="D49">
            <v>36100</v>
          </cell>
          <cell r="E49">
            <v>870</v>
          </cell>
          <cell r="F49">
            <v>1239</v>
          </cell>
          <cell r="G49">
            <v>2109</v>
          </cell>
          <cell r="H49">
            <v>1975</v>
          </cell>
        </row>
        <row r="50">
          <cell r="D50">
            <v>36130</v>
          </cell>
          <cell r="E50">
            <v>832</v>
          </cell>
          <cell r="F50">
            <v>1152</v>
          </cell>
          <cell r="G50">
            <v>1984</v>
          </cell>
          <cell r="H50">
            <v>1986</v>
          </cell>
        </row>
        <row r="51">
          <cell r="D51">
            <v>36161</v>
          </cell>
          <cell r="E51">
            <v>754</v>
          </cell>
          <cell r="F51">
            <v>977</v>
          </cell>
          <cell r="G51">
            <v>1731</v>
          </cell>
          <cell r="H51">
            <v>1612</v>
          </cell>
        </row>
        <row r="52">
          <cell r="D52">
            <v>36192</v>
          </cell>
          <cell r="E52">
            <v>696</v>
          </cell>
          <cell r="F52">
            <v>1058</v>
          </cell>
          <cell r="G52">
            <v>1754</v>
          </cell>
          <cell r="H52">
            <v>1627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g-17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ompany Info"/>
    </sheetNames>
    <sheetDataSet>
      <sheetData sheetId="0" refreshError="1">
        <row r="4">
          <cell r="C4" t="str">
            <v>Sheet  &amp;  Foil  Division</v>
          </cell>
        </row>
        <row r="5">
          <cell r="C5" t="str">
            <v>Analysis of Finished Goods</v>
          </cell>
        </row>
        <row r="6">
          <cell r="C6" t="str">
            <v xml:space="preserve">for </v>
          </cell>
          <cell r="D6" t="str">
            <v>MAR 1999</v>
          </cell>
        </row>
        <row r="8">
          <cell r="C8" t="str">
            <v>Products</v>
          </cell>
          <cell r="H8" t="str">
            <v>mt</v>
          </cell>
          <cell r="N8" t="str">
            <v xml:space="preserve">Metal cost </v>
          </cell>
          <cell r="T8" t="str">
            <v xml:space="preserve">Melt loss </v>
          </cell>
          <cell r="Z8" t="str">
            <v>Direct cost</v>
          </cell>
          <cell r="AF8" t="str">
            <v>Period cost</v>
          </cell>
        </row>
        <row r="10">
          <cell r="F10" t="str">
            <v>Op'ing</v>
          </cell>
          <cell r="G10" t="str">
            <v>Sample &amp;</v>
          </cell>
          <cell r="H10" t="str">
            <v>Prodn</v>
          </cell>
          <cell r="I10" t="str">
            <v>Cost of</v>
          </cell>
          <cell r="J10" t="str">
            <v>Closing</v>
          </cell>
          <cell r="L10" t="str">
            <v>Op'ing</v>
          </cell>
          <cell r="M10" t="str">
            <v>Sample &amp;</v>
          </cell>
          <cell r="N10" t="str">
            <v>Prodn</v>
          </cell>
          <cell r="O10" t="str">
            <v>Cost of</v>
          </cell>
          <cell r="P10" t="str">
            <v>Closing</v>
          </cell>
          <cell r="R10" t="str">
            <v>Op'ing</v>
          </cell>
          <cell r="S10" t="str">
            <v>Sample &amp;</v>
          </cell>
          <cell r="T10" t="str">
            <v>Prodn</v>
          </cell>
          <cell r="U10" t="str">
            <v>Cost of</v>
          </cell>
          <cell r="V10" t="str">
            <v>Closing</v>
          </cell>
          <cell r="X10" t="str">
            <v>Op'ing</v>
          </cell>
          <cell r="Y10" t="str">
            <v>Sample &amp;</v>
          </cell>
          <cell r="Z10" t="str">
            <v>Prodn</v>
          </cell>
          <cell r="AA10" t="str">
            <v>Cost of</v>
          </cell>
          <cell r="AB10" t="str">
            <v>Closing</v>
          </cell>
          <cell r="AD10" t="str">
            <v>Op'ing</v>
          </cell>
          <cell r="AE10" t="str">
            <v>Sample &amp;</v>
          </cell>
          <cell r="AF10" t="str">
            <v>Prodn</v>
          </cell>
          <cell r="AG10" t="str">
            <v>Cost of</v>
          </cell>
          <cell r="AH10" t="str">
            <v>Closing</v>
          </cell>
        </row>
        <row r="11">
          <cell r="F11" t="str">
            <v>Bal.</v>
          </cell>
          <cell r="G11" t="str">
            <v>scrapping</v>
          </cell>
          <cell r="I11" t="str">
            <v>Sales</v>
          </cell>
          <cell r="J11" t="str">
            <v>Balance</v>
          </cell>
          <cell r="L11" t="str">
            <v>Bal.</v>
          </cell>
          <cell r="M11" t="str">
            <v>scrapping</v>
          </cell>
          <cell r="O11" t="str">
            <v>Sales</v>
          </cell>
          <cell r="P11" t="str">
            <v>Balance</v>
          </cell>
          <cell r="R11" t="str">
            <v>Bal.</v>
          </cell>
          <cell r="S11" t="str">
            <v>scrapping</v>
          </cell>
          <cell r="U11" t="str">
            <v>Sales</v>
          </cell>
          <cell r="V11" t="str">
            <v>Balance</v>
          </cell>
          <cell r="X11" t="str">
            <v>Bal.</v>
          </cell>
          <cell r="Y11" t="str">
            <v>scrapping</v>
          </cell>
          <cell r="AA11" t="str">
            <v>Sales</v>
          </cell>
          <cell r="AB11" t="str">
            <v>Balance</v>
          </cell>
          <cell r="AD11" t="str">
            <v>Bal.</v>
          </cell>
          <cell r="AE11" t="str">
            <v>scrapping</v>
          </cell>
          <cell r="AG11" t="str">
            <v>Sales</v>
          </cell>
          <cell r="AH11" t="str">
            <v>Balance</v>
          </cell>
        </row>
        <row r="13">
          <cell r="C13" t="str">
            <v>Tread Plate</v>
          </cell>
          <cell r="F13">
            <v>11.249000000000001</v>
          </cell>
          <cell r="G13">
            <v>0</v>
          </cell>
          <cell r="H13">
            <v>33.72</v>
          </cell>
          <cell r="I13">
            <v>-37.140999999999998</v>
          </cell>
          <cell r="J13">
            <v>7.828000000000003</v>
          </cell>
          <cell r="L13">
            <v>57360</v>
          </cell>
          <cell r="M13">
            <v>0</v>
          </cell>
          <cell r="N13">
            <v>168947.95072186674</v>
          </cell>
          <cell r="O13">
            <v>-186913.28688120376</v>
          </cell>
          <cell r="P13">
            <v>39394.663840662979</v>
          </cell>
          <cell r="R13">
            <v>979</v>
          </cell>
          <cell r="S13">
            <v>0</v>
          </cell>
          <cell r="T13">
            <v>3468.3159960715693</v>
          </cell>
          <cell r="U13">
            <v>-3673.1473550689175</v>
          </cell>
          <cell r="V13">
            <v>774.16864100265184</v>
          </cell>
          <cell r="X13">
            <v>7313</v>
          </cell>
          <cell r="Y13">
            <v>0</v>
          </cell>
          <cell r="Z13">
            <v>18916.994141470037</v>
          </cell>
          <cell r="AA13">
            <v>-21663.995472621998</v>
          </cell>
          <cell r="AB13">
            <v>4565.9986688480385</v>
          </cell>
          <cell r="AD13">
            <v>7142</v>
          </cell>
          <cell r="AE13">
            <v>0</v>
          </cell>
          <cell r="AF13">
            <v>16565.115059852709</v>
          </cell>
          <cell r="AG13">
            <v>-19580.28776352575</v>
          </cell>
          <cell r="AH13">
            <v>4126.8272963269592</v>
          </cell>
        </row>
        <row r="14">
          <cell r="C14" t="str">
            <v>Flat sheet :</v>
          </cell>
        </row>
        <row r="15">
          <cell r="C15" t="str">
            <v xml:space="preserve"> - AQ 1 side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C16" t="str">
            <v xml:space="preserve"> - AQ 2 side</v>
          </cell>
          <cell r="F16">
            <v>2.4E-2</v>
          </cell>
          <cell r="G16">
            <v>0</v>
          </cell>
          <cell r="H16">
            <v>0</v>
          </cell>
          <cell r="I16">
            <v>0</v>
          </cell>
          <cell r="J16">
            <v>2.4E-2</v>
          </cell>
          <cell r="L16">
            <v>133</v>
          </cell>
          <cell r="M16">
            <v>0</v>
          </cell>
          <cell r="N16">
            <v>0</v>
          </cell>
          <cell r="O16">
            <v>0</v>
          </cell>
          <cell r="P16">
            <v>133</v>
          </cell>
          <cell r="R16">
            <v>4</v>
          </cell>
          <cell r="S16">
            <v>0</v>
          </cell>
          <cell r="T16">
            <v>0</v>
          </cell>
          <cell r="U16">
            <v>0</v>
          </cell>
          <cell r="V16">
            <v>4</v>
          </cell>
          <cell r="X16">
            <v>14</v>
          </cell>
          <cell r="Y16">
            <v>0</v>
          </cell>
          <cell r="Z16">
            <v>0</v>
          </cell>
          <cell r="AA16">
            <v>0</v>
          </cell>
          <cell r="AB16">
            <v>14</v>
          </cell>
          <cell r="AD16">
            <v>16</v>
          </cell>
          <cell r="AE16">
            <v>0</v>
          </cell>
          <cell r="AF16">
            <v>0</v>
          </cell>
          <cell r="AG16">
            <v>0</v>
          </cell>
          <cell r="AH16">
            <v>16</v>
          </cell>
        </row>
        <row r="17">
          <cell r="C17" t="str">
            <v xml:space="preserve"> - Others</v>
          </cell>
          <cell r="F17">
            <v>102.56</v>
          </cell>
          <cell r="G17">
            <v>-4.3970000000000002</v>
          </cell>
          <cell r="H17">
            <v>255.11699999999999</v>
          </cell>
          <cell r="I17">
            <v>-311.39800000000002</v>
          </cell>
          <cell r="J17">
            <v>41.881999999999948</v>
          </cell>
          <cell r="L17">
            <v>535759</v>
          </cell>
          <cell r="M17">
            <v>-22919.903402886113</v>
          </cell>
          <cell r="N17">
            <v>1312801.5476351008</v>
          </cell>
          <cell r="O17">
            <v>-1609157.31331132</v>
          </cell>
          <cell r="P17">
            <v>216483.33092089463</v>
          </cell>
          <cell r="R17">
            <v>10938</v>
          </cell>
          <cell r="S17">
            <v>-468.93902106084244</v>
          </cell>
          <cell r="T17">
            <v>29761.259423226416</v>
          </cell>
          <cell r="U17">
            <v>-35460.941215448249</v>
          </cell>
          <cell r="V17">
            <v>4769.3791867173277</v>
          </cell>
          <cell r="X17">
            <v>73684</v>
          </cell>
          <cell r="Y17">
            <v>-3116.4361154446178</v>
          </cell>
          <cell r="Z17">
            <v>176437.74739557927</v>
          </cell>
          <cell r="AA17">
            <v>-217722.37296764995</v>
          </cell>
          <cell r="AB17">
            <v>29282.938312484708</v>
          </cell>
          <cell r="AD17">
            <v>78506</v>
          </cell>
          <cell r="AE17">
            <v>-12096.13164976599</v>
          </cell>
          <cell r="AF17">
            <v>172478.95971667027</v>
          </cell>
          <cell r="AG17">
            <v>-210568.11391071632</v>
          </cell>
          <cell r="AH17">
            <v>28320.714156187954</v>
          </cell>
        </row>
        <row r="18">
          <cell r="C18" t="str">
            <v xml:space="preserve"> - Cladding</v>
          </cell>
          <cell r="F18">
            <v>44.176000000000002</v>
          </cell>
          <cell r="G18">
            <v>0</v>
          </cell>
          <cell r="H18">
            <v>214.71899999999999</v>
          </cell>
          <cell r="I18">
            <v>-252.911</v>
          </cell>
          <cell r="J18">
            <v>5.9839999999999804</v>
          </cell>
          <cell r="L18">
            <v>231092</v>
          </cell>
          <cell r="M18">
            <v>0</v>
          </cell>
          <cell r="N18">
            <v>1117061.8222158342</v>
          </cell>
          <cell r="O18">
            <v>-1316993.1104518389</v>
          </cell>
          <cell r="P18">
            <v>31160.711763995234</v>
          </cell>
          <cell r="R18">
            <v>5032</v>
          </cell>
          <cell r="S18">
            <v>0</v>
          </cell>
          <cell r="T18">
            <v>26284.821897881415</v>
          </cell>
          <cell r="U18">
            <v>-30592.976855540226</v>
          </cell>
          <cell r="V18">
            <v>723.84504234118867</v>
          </cell>
          <cell r="X18">
            <v>29595</v>
          </cell>
          <cell r="Y18">
            <v>0</v>
          </cell>
          <cell r="Z18">
            <v>145055.23489760616</v>
          </cell>
          <cell r="AA18">
            <v>-170613.43617369386</v>
          </cell>
          <cell r="AB18">
            <v>4036.7987239123031</v>
          </cell>
          <cell r="AD18">
            <v>28881</v>
          </cell>
          <cell r="AE18">
            <v>0</v>
          </cell>
          <cell r="AF18">
            <v>137947.48883957582</v>
          </cell>
          <cell r="AG18">
            <v>-162972.47896215052</v>
          </cell>
          <cell r="AH18">
            <v>3856.0098774252983</v>
          </cell>
        </row>
        <row r="19">
          <cell r="C19" t="str">
            <v xml:space="preserve"> - Painted</v>
          </cell>
          <cell r="F19">
            <v>0</v>
          </cell>
          <cell r="G19">
            <v>1.0269999999999999</v>
          </cell>
          <cell r="H19">
            <v>0</v>
          </cell>
          <cell r="I19">
            <v>0</v>
          </cell>
          <cell r="J19">
            <v>1.0269999999999999</v>
          </cell>
          <cell r="L19">
            <v>0</v>
          </cell>
          <cell r="M19">
            <v>5364.9034028861151</v>
          </cell>
          <cell r="N19">
            <v>0</v>
          </cell>
          <cell r="O19">
            <v>0</v>
          </cell>
          <cell r="P19">
            <v>5364.9034028861151</v>
          </cell>
          <cell r="R19">
            <v>0</v>
          </cell>
          <cell r="S19">
            <v>109.5293096723869</v>
          </cell>
          <cell r="T19">
            <v>0</v>
          </cell>
          <cell r="U19">
            <v>0</v>
          </cell>
          <cell r="V19">
            <v>109.5293096723869</v>
          </cell>
          <cell r="X19">
            <v>-1908</v>
          </cell>
          <cell r="Y19">
            <v>2645.8458268330733</v>
          </cell>
          <cell r="Z19">
            <v>988.22293311897931</v>
          </cell>
          <cell r="AA19">
            <v>0</v>
          </cell>
          <cell r="AB19">
            <v>1726.0687599520525</v>
          </cell>
          <cell r="AD19">
            <v>0</v>
          </cell>
          <cell r="AE19">
            <v>786.13164976599069</v>
          </cell>
          <cell r="AF19">
            <v>0</v>
          </cell>
          <cell r="AG19">
            <v>0</v>
          </cell>
          <cell r="AH19">
            <v>786.13164976599069</v>
          </cell>
        </row>
        <row r="20">
          <cell r="C20" t="str">
            <v xml:space="preserve"> - Total</v>
          </cell>
          <cell r="F20">
            <v>146.76</v>
          </cell>
          <cell r="G20">
            <v>-3.37</v>
          </cell>
          <cell r="H20">
            <v>469.83600000000001</v>
          </cell>
          <cell r="I20">
            <v>-564.30899999999997</v>
          </cell>
          <cell r="J20">
            <v>48.916999999999931</v>
          </cell>
          <cell r="L20">
            <v>766984</v>
          </cell>
          <cell r="M20">
            <v>-17555</v>
          </cell>
          <cell r="N20">
            <v>2429863.3698509349</v>
          </cell>
          <cell r="O20">
            <v>-2926150.4237631587</v>
          </cell>
          <cell r="P20">
            <v>253141.94608777598</v>
          </cell>
          <cell r="R20">
            <v>15974</v>
          </cell>
          <cell r="S20">
            <v>-359.40971138845555</v>
          </cell>
          <cell r="T20">
            <v>56046.081321107835</v>
          </cell>
          <cell r="U20">
            <v>-66053.918070988468</v>
          </cell>
          <cell r="V20">
            <v>5606.7535387309035</v>
          </cell>
          <cell r="X20">
            <v>101385</v>
          </cell>
          <cell r="Y20">
            <v>-470.59028861154457</v>
          </cell>
          <cell r="Z20">
            <v>322481.20522630442</v>
          </cell>
          <cell r="AA20">
            <v>-388335.80914134381</v>
          </cell>
          <cell r="AB20">
            <v>35059.805796349065</v>
          </cell>
          <cell r="AD20">
            <v>107403</v>
          </cell>
          <cell r="AE20">
            <v>-11310</v>
          </cell>
          <cell r="AF20">
            <v>310426.44855624612</v>
          </cell>
          <cell r="AG20">
            <v>-373540.59287286684</v>
          </cell>
          <cell r="AH20">
            <v>32978.855683379246</v>
          </cell>
        </row>
        <row r="22">
          <cell r="C22" t="str">
            <v>Coil :</v>
          </cell>
        </row>
        <row r="23">
          <cell r="C23" t="str">
            <v xml:space="preserve"> - Painted</v>
          </cell>
          <cell r="F23">
            <v>3.15</v>
          </cell>
          <cell r="G23">
            <v>0</v>
          </cell>
          <cell r="H23">
            <v>0</v>
          </cell>
          <cell r="I23">
            <v>0</v>
          </cell>
          <cell r="J23">
            <v>3.15</v>
          </cell>
          <cell r="L23">
            <v>16030</v>
          </cell>
          <cell r="M23">
            <v>0</v>
          </cell>
          <cell r="N23">
            <v>0</v>
          </cell>
          <cell r="O23">
            <v>0</v>
          </cell>
          <cell r="P23">
            <v>16030</v>
          </cell>
          <cell r="R23">
            <v>333</v>
          </cell>
          <cell r="S23">
            <v>0</v>
          </cell>
          <cell r="T23">
            <v>0</v>
          </cell>
          <cell r="U23">
            <v>0</v>
          </cell>
          <cell r="V23">
            <v>333</v>
          </cell>
          <cell r="X23">
            <v>-6237</v>
          </cell>
          <cell r="Y23">
            <v>3216</v>
          </cell>
          <cell r="Z23">
            <v>934.60781895105197</v>
          </cell>
          <cell r="AA23">
            <v>0</v>
          </cell>
          <cell r="AB23">
            <v>-2086.3921810489483</v>
          </cell>
          <cell r="AD23">
            <v>4350</v>
          </cell>
          <cell r="AE23">
            <v>0</v>
          </cell>
          <cell r="AF23">
            <v>1783.0002519767197</v>
          </cell>
          <cell r="AG23">
            <v>0</v>
          </cell>
          <cell r="AH23">
            <v>6133.0002519767195</v>
          </cell>
        </row>
        <row r="24">
          <cell r="C24" t="str">
            <v xml:space="preserve"> - Others</v>
          </cell>
          <cell r="F24">
            <v>107.52200000000001</v>
          </cell>
          <cell r="G24">
            <v>-10.679</v>
          </cell>
          <cell r="H24">
            <v>246.50399999999999</v>
          </cell>
          <cell r="I24">
            <v>-252.69800000000001</v>
          </cell>
          <cell r="J24">
            <v>90.648999999999972</v>
          </cell>
          <cell r="L24">
            <v>555144</v>
          </cell>
          <cell r="M24">
            <v>-55138</v>
          </cell>
          <cell r="N24">
            <v>1265874.7793292084</v>
          </cell>
          <cell r="O24">
            <v>-1299660.5217897121</v>
          </cell>
          <cell r="P24">
            <v>466220.25753949629</v>
          </cell>
          <cell r="R24">
            <v>10589</v>
          </cell>
          <cell r="S24">
            <v>-1051.6911050761705</v>
          </cell>
          <cell r="T24">
            <v>28491.255283093567</v>
          </cell>
          <cell r="U24">
            <v>-27988.426025730936</v>
          </cell>
          <cell r="V24">
            <v>10040.138152286461</v>
          </cell>
          <cell r="X24">
            <v>79609</v>
          </cell>
          <cell r="Y24">
            <v>-7906.3088949238299</v>
          </cell>
          <cell r="Z24">
            <v>184141.01329470691</v>
          </cell>
          <cell r="AA24">
            <v>-188296.9486100545</v>
          </cell>
          <cell r="AB24">
            <v>67546.755789728573</v>
          </cell>
          <cell r="AD24">
            <v>85263</v>
          </cell>
          <cell r="AE24">
            <v>-8469</v>
          </cell>
          <cell r="AF24">
            <v>192185.0297467011</v>
          </cell>
          <cell r="AG24">
            <v>-197964.34178522567</v>
          </cell>
          <cell r="AH24">
            <v>71014.687961475458</v>
          </cell>
        </row>
        <row r="25">
          <cell r="C25" t="str">
            <v xml:space="preserve"> - Total</v>
          </cell>
          <cell r="F25">
            <v>110.67200000000001</v>
          </cell>
          <cell r="G25">
            <v>-10.679</v>
          </cell>
          <cell r="H25">
            <v>246.50399999999999</v>
          </cell>
          <cell r="I25">
            <v>-252.69800000000001</v>
          </cell>
          <cell r="J25">
            <v>93.798999999999978</v>
          </cell>
          <cell r="L25">
            <v>571174</v>
          </cell>
          <cell r="M25">
            <v>-55138</v>
          </cell>
          <cell r="N25">
            <v>1265874.7793292084</v>
          </cell>
          <cell r="O25">
            <v>-1299660.5217897121</v>
          </cell>
          <cell r="P25">
            <v>482250.25753949629</v>
          </cell>
          <cell r="R25">
            <v>10922</v>
          </cell>
          <cell r="S25">
            <v>-1051.6911050761705</v>
          </cell>
          <cell r="T25">
            <v>28491.255283093567</v>
          </cell>
          <cell r="U25">
            <v>-27988.426025730936</v>
          </cell>
          <cell r="V25">
            <v>10373.138152286461</v>
          </cell>
          <cell r="X25">
            <v>73372</v>
          </cell>
          <cell r="Y25">
            <v>-4690.3088949238299</v>
          </cell>
          <cell r="Z25">
            <v>185075.62111365795</v>
          </cell>
          <cell r="AA25">
            <v>-188296.9486100545</v>
          </cell>
          <cell r="AB25">
            <v>65460.363608679625</v>
          </cell>
          <cell r="AD25">
            <v>89613</v>
          </cell>
          <cell r="AE25">
            <v>-8469</v>
          </cell>
          <cell r="AF25">
            <v>193968.02999867781</v>
          </cell>
          <cell r="AG25">
            <v>-197964.34178522567</v>
          </cell>
          <cell r="AH25">
            <v>77147.688213452173</v>
          </cell>
        </row>
        <row r="26">
          <cell r="C26" t="str">
            <v>Reroll Coil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C27" t="str">
            <v>Circles :</v>
          </cell>
        </row>
        <row r="28">
          <cell r="C28" t="str">
            <v xml:space="preserve"> - AQ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C29" t="str">
            <v xml:space="preserve"> - Others</v>
          </cell>
          <cell r="F29">
            <v>16.579000000000001</v>
          </cell>
          <cell r="G29">
            <v>-2.173</v>
          </cell>
          <cell r="H29">
            <v>20.076000000000001</v>
          </cell>
          <cell r="I29">
            <v>-21.443000000000001</v>
          </cell>
          <cell r="J29">
            <v>13.038999999999998</v>
          </cell>
          <cell r="L29">
            <v>90703</v>
          </cell>
          <cell r="M29">
            <v>-11889</v>
          </cell>
          <cell r="N29">
            <v>113421.30224451923</v>
          </cell>
          <cell r="O29">
            <v>-119543.57595351854</v>
          </cell>
          <cell r="P29">
            <v>72691.726291000698</v>
          </cell>
          <cell r="R29">
            <v>2606</v>
          </cell>
          <cell r="S29">
            <v>-341.56692200977142</v>
          </cell>
          <cell r="T29">
            <v>3371.5344388965104</v>
          </cell>
          <cell r="U29">
            <v>-3504.7865977786191</v>
          </cell>
          <cell r="V29">
            <v>2131.1809191081197</v>
          </cell>
          <cell r="X29">
            <v>27862</v>
          </cell>
          <cell r="Y29">
            <v>-3651.4330779902284</v>
          </cell>
          <cell r="Z29">
            <v>41268.031029530401</v>
          </cell>
          <cell r="AA29">
            <v>-40718.565508812593</v>
          </cell>
          <cell r="AB29">
            <v>24760.032442727577</v>
          </cell>
          <cell r="AD29">
            <v>27116</v>
          </cell>
          <cell r="AE29">
            <v>-3554</v>
          </cell>
          <cell r="AF29">
            <v>41167.656774415249</v>
          </cell>
          <cell r="AG29">
            <v>-40252.828438425444</v>
          </cell>
          <cell r="AH29">
            <v>24476.828335989805</v>
          </cell>
        </row>
        <row r="30">
          <cell r="C30" t="str">
            <v xml:space="preserve"> - Total</v>
          </cell>
          <cell r="F30">
            <v>16.579000000000001</v>
          </cell>
          <cell r="G30">
            <v>-2.173</v>
          </cell>
          <cell r="H30">
            <v>20.076000000000001</v>
          </cell>
          <cell r="I30">
            <v>-21.443000000000001</v>
          </cell>
          <cell r="J30">
            <v>13.038999999999998</v>
          </cell>
          <cell r="L30">
            <v>90703</v>
          </cell>
          <cell r="M30">
            <v>-11889</v>
          </cell>
          <cell r="N30">
            <v>113421.30224451923</v>
          </cell>
          <cell r="O30">
            <v>-119543.57595351854</v>
          </cell>
          <cell r="P30">
            <v>72691.726291000698</v>
          </cell>
          <cell r="R30">
            <v>2606</v>
          </cell>
          <cell r="S30">
            <v>-341.56692200977142</v>
          </cell>
          <cell r="T30">
            <v>3371.5344388965104</v>
          </cell>
          <cell r="U30">
            <v>-3504.7865977786191</v>
          </cell>
          <cell r="V30">
            <v>2131.1809191081197</v>
          </cell>
          <cell r="X30">
            <v>27862</v>
          </cell>
          <cell r="Y30">
            <v>-3651.4330779902284</v>
          </cell>
          <cell r="Z30">
            <v>41268.031029530401</v>
          </cell>
          <cell r="AA30">
            <v>-40718.565508812593</v>
          </cell>
          <cell r="AB30">
            <v>24760.032442727577</v>
          </cell>
          <cell r="AD30">
            <v>27116</v>
          </cell>
          <cell r="AE30">
            <v>-3554</v>
          </cell>
          <cell r="AF30">
            <v>41167.656774415249</v>
          </cell>
          <cell r="AG30">
            <v>-40252.828438425444</v>
          </cell>
          <cell r="AH30">
            <v>24476.828335989805</v>
          </cell>
        </row>
        <row r="32">
          <cell r="C32" t="str">
            <v>Total Sheet</v>
          </cell>
          <cell r="F32">
            <v>285.26</v>
          </cell>
          <cell r="G32">
            <v>-16.222000000000001</v>
          </cell>
          <cell r="H32">
            <v>770.13600000000008</v>
          </cell>
          <cell r="I32">
            <v>-875.59099999999989</v>
          </cell>
          <cell r="J32">
            <v>163.58299999999991</v>
          </cell>
          <cell r="L32">
            <v>1486221</v>
          </cell>
          <cell r="M32">
            <v>-84582</v>
          </cell>
          <cell r="N32">
            <v>3978107.4021465299</v>
          </cell>
          <cell r="O32">
            <v>-4532267.8083875934</v>
          </cell>
          <cell r="P32">
            <v>847478.59375893592</v>
          </cell>
          <cell r="R32">
            <v>30481</v>
          </cell>
          <cell r="S32">
            <v>-1752.6677384743973</v>
          </cell>
          <cell r="T32">
            <v>91377.187039169483</v>
          </cell>
          <cell r="U32">
            <v>-101220.27804956693</v>
          </cell>
          <cell r="V32">
            <v>18885.241251128136</v>
          </cell>
          <cell r="X32">
            <v>209932</v>
          </cell>
          <cell r="Y32">
            <v>-8812.3322615256038</v>
          </cell>
          <cell r="Z32">
            <v>567741.85151096282</v>
          </cell>
          <cell r="AA32">
            <v>-639015.31873283291</v>
          </cell>
          <cell r="AB32">
            <v>129846.20051660431</v>
          </cell>
          <cell r="AD32">
            <v>231274</v>
          </cell>
          <cell r="AE32">
            <v>-23333</v>
          </cell>
          <cell r="AF32">
            <v>562127.2503891919</v>
          </cell>
          <cell r="AG32">
            <v>-631338.05086004362</v>
          </cell>
          <cell r="AH32">
            <v>138730.19952914817</v>
          </cell>
        </row>
        <row r="34">
          <cell r="C34" t="str">
            <v>Roofing Sheet :</v>
          </cell>
        </row>
        <row r="35">
          <cell r="C35" t="str">
            <v xml:space="preserve"> - 6P &amp; Alrib Plain</v>
          </cell>
          <cell r="F35">
            <v>6.2469999999999999</v>
          </cell>
          <cell r="G35">
            <v>-0.83399999999999996</v>
          </cell>
          <cell r="H35">
            <v>10.455</v>
          </cell>
          <cell r="I35">
            <v>-12.188000000000001</v>
          </cell>
          <cell r="J35">
            <v>3.6799999999999997</v>
          </cell>
          <cell r="L35">
            <v>32634</v>
          </cell>
          <cell r="M35">
            <v>-4356.7722106611172</v>
          </cell>
          <cell r="N35">
            <v>54337.14861388586</v>
          </cell>
          <cell r="O35">
            <v>-63455.005016542927</v>
          </cell>
          <cell r="P35">
            <v>19159.371386681814</v>
          </cell>
          <cell r="R35">
            <v>703</v>
          </cell>
          <cell r="S35">
            <v>-93.853369617416362</v>
          </cell>
          <cell r="T35">
            <v>1274.3187025593591</v>
          </cell>
          <cell r="U35">
            <v>-1446.6647011530374</v>
          </cell>
          <cell r="V35">
            <v>436.80063178890532</v>
          </cell>
          <cell r="X35">
            <v>7024</v>
          </cell>
          <cell r="Y35">
            <v>-937.7326716824075</v>
          </cell>
          <cell r="Z35">
            <v>9022.3279104391058</v>
          </cell>
          <cell r="AA35">
            <v>-11604.71129127594</v>
          </cell>
          <cell r="AB35">
            <v>3503.8839474807573</v>
          </cell>
          <cell r="AD35">
            <v>8042</v>
          </cell>
          <cell r="AE35">
            <v>-1073.6398271170162</v>
          </cell>
          <cell r="AF35">
            <v>7472.7820444198551</v>
          </cell>
          <cell r="AG35">
            <v>-11092.049492342261</v>
          </cell>
          <cell r="AH35">
            <v>3349.0927249605775</v>
          </cell>
        </row>
        <row r="36">
          <cell r="C36" t="str">
            <v xml:space="preserve"> - 6P &amp; Alrib Painted</v>
          </cell>
          <cell r="F36">
            <v>0.183</v>
          </cell>
          <cell r="G36">
            <v>0.83399999999999996</v>
          </cell>
          <cell r="H36">
            <v>0</v>
          </cell>
          <cell r="I36">
            <v>-1.0169999999999999</v>
          </cell>
          <cell r="J36">
            <v>0</v>
          </cell>
          <cell r="L36">
            <v>1933</v>
          </cell>
          <cell r="M36">
            <v>4356.7722106611172</v>
          </cell>
          <cell r="N36">
            <v>0</v>
          </cell>
          <cell r="O36">
            <v>-6289.7722106611172</v>
          </cell>
          <cell r="P36">
            <v>0</v>
          </cell>
          <cell r="R36">
            <v>188</v>
          </cell>
          <cell r="S36">
            <v>93.853369617416362</v>
          </cell>
          <cell r="T36">
            <v>0</v>
          </cell>
          <cell r="U36">
            <v>-281.85336961741638</v>
          </cell>
          <cell r="V36">
            <v>0</v>
          </cell>
          <cell r="X36">
            <v>797</v>
          </cell>
          <cell r="Y36">
            <v>-4186.2673283175927</v>
          </cell>
          <cell r="Z36">
            <v>7610</v>
          </cell>
          <cell r="AA36">
            <v>-4220.7326716824073</v>
          </cell>
          <cell r="AB36">
            <v>0</v>
          </cell>
          <cell r="AD36">
            <v>819</v>
          </cell>
          <cell r="AE36">
            <v>1073.6398271170162</v>
          </cell>
          <cell r="AF36">
            <v>0</v>
          </cell>
          <cell r="AG36">
            <v>-1892.6398271170162</v>
          </cell>
          <cell r="AH36">
            <v>0</v>
          </cell>
        </row>
        <row r="37">
          <cell r="C37" t="str">
            <v xml:space="preserve"> - Payung Plain</v>
          </cell>
          <cell r="F37">
            <v>23.803999999999998</v>
          </cell>
          <cell r="G37">
            <v>-1.327</v>
          </cell>
          <cell r="H37">
            <v>24.928000000000001</v>
          </cell>
          <cell r="I37">
            <v>-41.959000000000003</v>
          </cell>
          <cell r="J37">
            <v>5.445999999999998</v>
          </cell>
          <cell r="L37">
            <v>121216</v>
          </cell>
          <cell r="M37">
            <v>-6757</v>
          </cell>
          <cell r="N37">
            <v>123508.12744521248</v>
          </cell>
          <cell r="O37">
            <v>-210628.89358661894</v>
          </cell>
          <cell r="P37">
            <v>27338.233858593536</v>
          </cell>
          <cell r="R37">
            <v>2055</v>
          </cell>
          <cell r="S37">
            <v>-114.55994790791463</v>
          </cell>
          <cell r="T37">
            <v>2422.5845028540002</v>
          </cell>
          <cell r="U37">
            <v>-3861.7898386453503</v>
          </cell>
          <cell r="V37">
            <v>501.23471630073482</v>
          </cell>
          <cell r="X37">
            <v>28544</v>
          </cell>
          <cell r="Y37">
            <v>-1591.4400520920854</v>
          </cell>
          <cell r="Z37">
            <v>32750.801038402162</v>
          </cell>
          <cell r="AA37">
            <v>-52844.49580475867</v>
          </cell>
          <cell r="AB37">
            <v>6858.8651815514022</v>
          </cell>
          <cell r="AD37">
            <v>29094</v>
          </cell>
          <cell r="AE37">
            <v>-1622</v>
          </cell>
          <cell r="AF37">
            <v>28566.742810916519</v>
          </cell>
          <cell r="AG37">
            <v>-49600.877747141574</v>
          </cell>
          <cell r="AH37">
            <v>6437.8650637749452</v>
          </cell>
        </row>
        <row r="38">
          <cell r="C38" t="str">
            <v xml:space="preserve"> - Payung Painted</v>
          </cell>
        </row>
        <row r="40">
          <cell r="C40" t="str">
            <v>Total Roofing</v>
          </cell>
          <cell r="F40">
            <v>30.233999999999998</v>
          </cell>
          <cell r="G40">
            <v>-1.327</v>
          </cell>
          <cell r="H40">
            <v>35.383000000000003</v>
          </cell>
          <cell r="I40">
            <v>-55.164000000000001</v>
          </cell>
          <cell r="J40">
            <v>9.1259999999999977</v>
          </cell>
          <cell r="L40">
            <v>155783</v>
          </cell>
          <cell r="M40">
            <v>-6757</v>
          </cell>
          <cell r="N40">
            <v>177845.27605909834</v>
          </cell>
          <cell r="O40">
            <v>-280373.670813823</v>
          </cell>
          <cell r="P40">
            <v>46497.60524527535</v>
          </cell>
          <cell r="R40">
            <v>2946</v>
          </cell>
          <cell r="S40">
            <v>-114.55994790791463</v>
          </cell>
          <cell r="T40">
            <v>3696.9032054133595</v>
          </cell>
          <cell r="U40">
            <v>-5590.3079094158038</v>
          </cell>
          <cell r="V40">
            <v>938.03534808964014</v>
          </cell>
          <cell r="X40">
            <v>36365</v>
          </cell>
          <cell r="Y40">
            <v>-6715.4400520920854</v>
          </cell>
          <cell r="Z40">
            <v>49383.128948841266</v>
          </cell>
          <cell r="AA40">
            <v>-68669.93976771702</v>
          </cell>
          <cell r="AB40">
            <v>10362.74912903216</v>
          </cell>
          <cell r="AD40">
            <v>37955</v>
          </cell>
          <cell r="AE40">
            <v>-1622</v>
          </cell>
          <cell r="AF40">
            <v>36039.524855336378</v>
          </cell>
          <cell r="AG40">
            <v>-62585.567066600852</v>
          </cell>
          <cell r="AH40">
            <v>9786.9577887355226</v>
          </cell>
        </row>
        <row r="42">
          <cell r="C42" t="str">
            <v>Total Sheet &amp; Roofing</v>
          </cell>
          <cell r="F42">
            <v>315.49399999999997</v>
          </cell>
          <cell r="G42">
            <v>-17.548999999999999</v>
          </cell>
          <cell r="H42">
            <v>805.51900000000012</v>
          </cell>
          <cell r="I42">
            <v>-930.75499999999988</v>
          </cell>
          <cell r="J42">
            <v>172.70899999999992</v>
          </cell>
          <cell r="L42">
            <v>1642004</v>
          </cell>
          <cell r="M42">
            <v>-91339</v>
          </cell>
          <cell r="N42">
            <v>4155952.6782056284</v>
          </cell>
          <cell r="O42">
            <v>-4812641.4792014165</v>
          </cell>
          <cell r="P42">
            <v>893976.19900421123</v>
          </cell>
          <cell r="R42">
            <v>33427</v>
          </cell>
          <cell r="S42">
            <v>-1867.227686382312</v>
          </cell>
          <cell r="T42">
            <v>95074.09024458284</v>
          </cell>
          <cell r="U42">
            <v>-106810.58595898273</v>
          </cell>
          <cell r="V42">
            <v>19823.276599217777</v>
          </cell>
          <cell r="X42">
            <v>246297</v>
          </cell>
          <cell r="Y42">
            <v>-15527.77231361769</v>
          </cell>
          <cell r="Z42">
            <v>617124.98045980406</v>
          </cell>
          <cell r="AA42">
            <v>-707685.25850054994</v>
          </cell>
          <cell r="AB42">
            <v>140208.94964563646</v>
          </cell>
          <cell r="AD42">
            <v>269229</v>
          </cell>
          <cell r="AE42">
            <v>-24955</v>
          </cell>
          <cell r="AF42">
            <v>598166.77524452831</v>
          </cell>
          <cell r="AG42">
            <v>-693923.61792664451</v>
          </cell>
          <cell r="AH42">
            <v>148517.15731788368</v>
          </cell>
        </row>
        <row r="44">
          <cell r="C44" t="str">
            <v>Foil :</v>
          </cell>
        </row>
        <row r="45">
          <cell r="C45" t="str">
            <v xml:space="preserve"> - Cable</v>
          </cell>
          <cell r="F45">
            <v>21.273</v>
          </cell>
          <cell r="G45">
            <v>-0.60199999999999998</v>
          </cell>
          <cell r="H45">
            <v>43.975999999999999</v>
          </cell>
          <cell r="I45">
            <v>-64.647000000000006</v>
          </cell>
          <cell r="J45">
            <v>-1.4210854715202004E-14</v>
          </cell>
          <cell r="L45">
            <v>109386</v>
          </cell>
          <cell r="M45">
            <v>-3095</v>
          </cell>
          <cell r="N45">
            <v>232904.68326501275</v>
          </cell>
          <cell r="O45">
            <v>-339195.68326501275</v>
          </cell>
          <cell r="P45">
            <v>0</v>
          </cell>
          <cell r="R45">
            <v>1988</v>
          </cell>
          <cell r="S45">
            <v>-56.257979598552154</v>
          </cell>
          <cell r="T45">
            <v>5803.0018643933263</v>
          </cell>
          <cell r="U45">
            <v>-7734.7438847947742</v>
          </cell>
          <cell r="V45">
            <v>0</v>
          </cell>
          <cell r="X45">
            <v>15634</v>
          </cell>
          <cell r="Y45">
            <v>-442.74202040144786</v>
          </cell>
          <cell r="Z45">
            <v>43350.216242700473</v>
          </cell>
          <cell r="AA45">
            <v>-58541.474222299024</v>
          </cell>
          <cell r="AB45">
            <v>0</v>
          </cell>
          <cell r="AD45">
            <v>16294</v>
          </cell>
          <cell r="AE45">
            <v>-461</v>
          </cell>
          <cell r="AF45">
            <v>48563.761454408312</v>
          </cell>
          <cell r="AG45">
            <v>-64396.761454408312</v>
          </cell>
          <cell r="AH45">
            <v>0</v>
          </cell>
        </row>
        <row r="46">
          <cell r="C46" t="str">
            <v xml:space="preserve"> - Finstock</v>
          </cell>
          <cell r="F46">
            <v>174.18199999999999</v>
          </cell>
          <cell r="G46">
            <v>-7.4690000000000003</v>
          </cell>
          <cell r="H46">
            <v>500.88600000000002</v>
          </cell>
          <cell r="I46">
            <v>-452.33699999999999</v>
          </cell>
          <cell r="J46">
            <v>215.26200000000006</v>
          </cell>
          <cell r="L46">
            <v>909320</v>
          </cell>
          <cell r="M46">
            <v>-38992</v>
          </cell>
          <cell r="N46">
            <v>2561627.8393345838</v>
          </cell>
          <cell r="O46">
            <v>-2325348.9122917913</v>
          </cell>
          <cell r="P46">
            <v>1106606.9270427926</v>
          </cell>
          <cell r="R46">
            <v>19091</v>
          </cell>
          <cell r="S46">
            <v>-818.6303923482335</v>
          </cell>
          <cell r="T46">
            <v>56816.188414608318</v>
          </cell>
          <cell r="U46">
            <v>-50876.848332779198</v>
          </cell>
          <cell r="V46">
            <v>24211.709689480886</v>
          </cell>
          <cell r="X46">
            <v>187349</v>
          </cell>
          <cell r="Y46">
            <v>-8033.3696076517663</v>
          </cell>
          <cell r="Z46">
            <v>460728.6619108615</v>
          </cell>
          <cell r="AA46">
            <v>-433667.08914716321</v>
          </cell>
          <cell r="AB46">
            <v>206377.20315604645</v>
          </cell>
          <cell r="AD46">
            <v>199473</v>
          </cell>
          <cell r="AE46">
            <v>-8524</v>
          </cell>
          <cell r="AF46">
            <v>487808.39474148443</v>
          </cell>
          <cell r="AG46">
            <v>-459897.45890149451</v>
          </cell>
          <cell r="AH46">
            <v>218859.93583998992</v>
          </cell>
        </row>
        <row r="47">
          <cell r="C47" t="str">
            <v xml:space="preserve"> - Bare fin</v>
          </cell>
          <cell r="F47">
            <v>42.408999999999999</v>
          </cell>
          <cell r="G47">
            <v>-46.113999999999997</v>
          </cell>
          <cell r="H47">
            <v>770.08199999999999</v>
          </cell>
          <cell r="I47">
            <v>-744.03499999999997</v>
          </cell>
          <cell r="J47">
            <v>22.341999999999985</v>
          </cell>
          <cell r="L47">
            <v>217541</v>
          </cell>
          <cell r="M47">
            <v>-240739</v>
          </cell>
          <cell r="N47">
            <v>3960468.1096425559</v>
          </cell>
          <cell r="O47">
            <v>-3822487.8434868208</v>
          </cell>
          <cell r="P47">
            <v>114782.26615573512</v>
          </cell>
          <cell r="R47">
            <v>3889</v>
          </cell>
          <cell r="S47">
            <v>-4228.7567733264168</v>
          </cell>
          <cell r="T47">
            <v>89603.394286294089</v>
          </cell>
          <cell r="U47">
            <v>-86661.356665141182</v>
          </cell>
          <cell r="V47">
            <v>2602.2808478264924</v>
          </cell>
          <cell r="X47">
            <v>36959</v>
          </cell>
          <cell r="Y47">
            <v>-50425.243226673585</v>
          </cell>
          <cell r="Z47">
            <v>655930.06550045859</v>
          </cell>
          <cell r="AA47">
            <v>-623734.23263677745</v>
          </cell>
          <cell r="AB47">
            <v>18729.589637007564</v>
          </cell>
          <cell r="AD47">
            <v>42411</v>
          </cell>
          <cell r="AE47">
            <v>-52810</v>
          </cell>
          <cell r="AF47">
            <v>741739.70880120294</v>
          </cell>
          <cell r="AG47">
            <v>-710020.11317263311</v>
          </cell>
          <cell r="AH47">
            <v>21320.595628569834</v>
          </cell>
        </row>
        <row r="48">
          <cell r="C48" t="str">
            <v xml:space="preserve"> - Diap Prelube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C49" t="str">
            <v xml:space="preserve"> - Lacquered</v>
          </cell>
          <cell r="F49">
            <v>7.1779999999999999</v>
          </cell>
          <cell r="G49">
            <v>-0.53600000000000003</v>
          </cell>
          <cell r="H49">
            <v>49.262</v>
          </cell>
          <cell r="I49">
            <v>-39.935000000000002</v>
          </cell>
          <cell r="J49">
            <v>15.968999999999994</v>
          </cell>
          <cell r="L49">
            <v>37334</v>
          </cell>
          <cell r="M49">
            <v>-2904</v>
          </cell>
          <cell r="N49">
            <v>264354.57698534813</v>
          </cell>
          <cell r="O49">
            <v>-213436.64285041997</v>
          </cell>
          <cell r="P49">
            <v>85347.93413492816</v>
          </cell>
          <cell r="R49">
            <v>735</v>
          </cell>
          <cell r="S49">
            <v>-54.884368904987461</v>
          </cell>
          <cell r="T49">
            <v>6852.201927404757</v>
          </cell>
          <cell r="U49">
            <v>-5380.7080298133997</v>
          </cell>
          <cell r="V49">
            <v>2151.6095286863701</v>
          </cell>
          <cell r="X49">
            <v>-369934</v>
          </cell>
          <cell r="Y49">
            <v>-4667.1156310950128</v>
          </cell>
          <cell r="Z49">
            <v>149902.86925553897</v>
          </cell>
          <cell r="AA49">
            <v>-139444.59627999095</v>
          </cell>
          <cell r="AB49">
            <v>-364142.84265554696</v>
          </cell>
          <cell r="AD49">
            <v>12706</v>
          </cell>
          <cell r="AE49">
            <v>-4878</v>
          </cell>
          <cell r="AF49">
            <v>56476.136443041709</v>
          </cell>
          <cell r="AG49">
            <v>-45935.63410226228</v>
          </cell>
          <cell r="AH49">
            <v>18368.502340779429</v>
          </cell>
        </row>
        <row r="50">
          <cell r="C50" t="str">
            <v xml:space="preserve"> - Plain &gt; 30 um</v>
          </cell>
          <cell r="F50">
            <v>22.082999999999998</v>
          </cell>
          <cell r="G50">
            <v>-2.9180000000000001</v>
          </cell>
          <cell r="H50">
            <v>11.356</v>
          </cell>
          <cell r="I50">
            <v>-13.15</v>
          </cell>
          <cell r="J50">
            <v>17.371000000000002</v>
          </cell>
          <cell r="L50">
            <v>114672</v>
          </cell>
          <cell r="M50">
            <v>-15209.025540008151</v>
          </cell>
          <cell r="N50">
            <v>61828.50313926315</v>
          </cell>
          <cell r="O50">
            <v>-69492.57660070782</v>
          </cell>
          <cell r="P50">
            <v>91798.900998547164</v>
          </cell>
          <cell r="R50">
            <v>2279</v>
          </cell>
          <cell r="S50">
            <v>-301.1421455418195</v>
          </cell>
          <cell r="T50">
            <v>1670.0740561126142</v>
          </cell>
          <cell r="U50">
            <v>-1571.7147086925706</v>
          </cell>
          <cell r="V50">
            <v>2076.2172018782239</v>
          </cell>
          <cell r="X50">
            <v>21516</v>
          </cell>
          <cell r="Y50">
            <v>-3062.2355205361591</v>
          </cell>
          <cell r="Z50">
            <v>18854.331952815337</v>
          </cell>
          <cell r="AA50">
            <v>-16074.226535319</v>
          </cell>
          <cell r="AB50">
            <v>21233.869896960176</v>
          </cell>
          <cell r="AD50">
            <v>24715</v>
          </cell>
          <cell r="AE50">
            <v>-3400.1226735497894</v>
          </cell>
          <cell r="AF50">
            <v>22039.426256563416</v>
          </cell>
          <cell r="AG50">
            <v>-18679.240264625314</v>
          </cell>
          <cell r="AH50">
            <v>24675.063318388307</v>
          </cell>
        </row>
        <row r="51">
          <cell r="C51" t="str">
            <v xml:space="preserve"> - Plain 10-30</v>
          </cell>
          <cell r="F51">
            <v>0</v>
          </cell>
          <cell r="G51">
            <v>0.88200000000000001</v>
          </cell>
          <cell r="H51">
            <v>9.0960000000000001</v>
          </cell>
          <cell r="I51">
            <v>-9.9779999999999998</v>
          </cell>
          <cell r="J51">
            <v>0</v>
          </cell>
          <cell r="L51">
            <v>0</v>
          </cell>
          <cell r="M51">
            <v>4580.0255400081514</v>
          </cell>
          <cell r="N51">
            <v>51203.812014873562</v>
          </cell>
          <cell r="O51">
            <v>-55783.837554881713</v>
          </cell>
          <cell r="P51">
            <v>0</v>
          </cell>
          <cell r="R51">
            <v>0</v>
          </cell>
          <cell r="S51">
            <v>91.023773943757647</v>
          </cell>
          <cell r="T51">
            <v>1508.7432610664284</v>
          </cell>
          <cell r="U51">
            <v>-1599.7670350101862</v>
          </cell>
          <cell r="V51">
            <v>0</v>
          </cell>
          <cell r="X51">
            <v>0</v>
          </cell>
          <cell r="Y51">
            <v>859.35389213422093</v>
          </cell>
          <cell r="Z51">
            <v>39904.160698282853</v>
          </cell>
          <cell r="AA51">
            <v>-40763.514590417071</v>
          </cell>
          <cell r="AB51">
            <v>0</v>
          </cell>
          <cell r="AD51">
            <v>0</v>
          </cell>
          <cell r="AE51">
            <v>987.1226735497894</v>
          </cell>
          <cell r="AF51">
            <v>50938.520593927627</v>
          </cell>
          <cell r="AG51">
            <v>-51925.643267477419</v>
          </cell>
          <cell r="AH51">
            <v>0</v>
          </cell>
        </row>
        <row r="52">
          <cell r="C52" t="str">
            <v xml:space="preserve"> - Plain 6-9</v>
          </cell>
          <cell r="F52">
            <v>12.763</v>
          </cell>
          <cell r="G52">
            <v>0</v>
          </cell>
          <cell r="H52">
            <v>11.909000000000001</v>
          </cell>
          <cell r="I52">
            <v>-5.5830000000000002</v>
          </cell>
          <cell r="J52">
            <v>19.088999999999999</v>
          </cell>
          <cell r="K52" t="e">
            <v>#VALUE!</v>
          </cell>
          <cell r="L52">
            <v>69133</v>
          </cell>
          <cell r="M52">
            <v>0</v>
          </cell>
          <cell r="N52">
            <v>74698.735106447653</v>
          </cell>
          <cell r="O52">
            <v>-32547.526633402125</v>
          </cell>
          <cell r="P52">
            <v>111284.20847304552</v>
          </cell>
          <cell r="Q52">
            <v>0</v>
          </cell>
          <cell r="R52">
            <v>1731</v>
          </cell>
          <cell r="S52">
            <v>-91.023773943757647</v>
          </cell>
          <cell r="T52">
            <v>2755.1442067483667</v>
          </cell>
          <cell r="U52">
            <v>-994.56701428129588</v>
          </cell>
          <cell r="V52">
            <v>3400.5534185233137</v>
          </cell>
          <cell r="X52">
            <v>84551</v>
          </cell>
          <cell r="Y52">
            <v>0</v>
          </cell>
          <cell r="Z52">
            <v>48131.813639523083</v>
          </cell>
          <cell r="AA52">
            <v>-30024.64934133663</v>
          </cell>
          <cell r="AB52">
            <v>102658.16429818646</v>
          </cell>
          <cell r="AD52">
            <v>116153</v>
          </cell>
          <cell r="AE52">
            <v>0</v>
          </cell>
          <cell r="AF52">
            <v>59734.493891139449</v>
          </cell>
          <cell r="AG52">
            <v>-39801.389364227936</v>
          </cell>
          <cell r="AH52">
            <v>136086.10452691151</v>
          </cell>
        </row>
        <row r="53">
          <cell r="C53" t="str">
            <v>Total foil</v>
          </cell>
          <cell r="F53">
            <v>279.88799999999998</v>
          </cell>
          <cell r="G53">
            <v>-56.756999999999998</v>
          </cell>
          <cell r="H53">
            <v>1396.567</v>
          </cell>
          <cell r="I53">
            <v>-1329.6650000000002</v>
          </cell>
          <cell r="J53">
            <v>290.03300000000002</v>
          </cell>
          <cell r="L53">
            <v>1457386</v>
          </cell>
          <cell r="M53">
            <v>-296359</v>
          </cell>
          <cell r="N53">
            <v>7207086.2594880844</v>
          </cell>
          <cell r="O53">
            <v>-6858293.0226830356</v>
          </cell>
          <cell r="P53">
            <v>1509820.2368050485</v>
          </cell>
          <cell r="R53">
            <v>29713</v>
          </cell>
          <cell r="S53">
            <v>-5459.6716597200093</v>
          </cell>
          <cell r="T53">
            <v>165008.74801662791</v>
          </cell>
          <cell r="U53">
            <v>-154819.70567051257</v>
          </cell>
          <cell r="V53">
            <v>34442.370686395283</v>
          </cell>
          <cell r="X53">
            <v>-23925</v>
          </cell>
          <cell r="Y53">
            <v>-65771.352114223744</v>
          </cell>
          <cell r="Z53">
            <v>1416802.1192001808</v>
          </cell>
          <cell r="AA53">
            <v>-1342249.7827533032</v>
          </cell>
          <cell r="AB53">
            <v>-15144.015667346306</v>
          </cell>
          <cell r="AD53">
            <v>411752</v>
          </cell>
          <cell r="AE53">
            <v>-69086</v>
          </cell>
          <cell r="AF53">
            <v>1467300.4421817681</v>
          </cell>
          <cell r="AG53">
            <v>-1390656.2405271288</v>
          </cell>
          <cell r="AH53">
            <v>419310.20165463904</v>
          </cell>
        </row>
        <row r="55">
          <cell r="C55" t="str">
            <v>Total Rolled Products</v>
          </cell>
          <cell r="F55">
            <v>595.38199999999995</v>
          </cell>
          <cell r="G55">
            <v>-74.305999999999997</v>
          </cell>
          <cell r="H55">
            <v>2202.0860000000002</v>
          </cell>
          <cell r="I55">
            <v>-2260.42</v>
          </cell>
          <cell r="J55">
            <v>462.74199999999996</v>
          </cell>
          <cell r="L55">
            <v>3099390</v>
          </cell>
          <cell r="M55">
            <v>-387698</v>
          </cell>
          <cell r="N55">
            <v>11363038.937693713</v>
          </cell>
          <cell r="O55">
            <v>-11670934.501884453</v>
          </cell>
          <cell r="P55">
            <v>2403796.4358092598</v>
          </cell>
          <cell r="R55">
            <v>63140</v>
          </cell>
          <cell r="S55">
            <v>-7326.899346102321</v>
          </cell>
          <cell r="T55">
            <v>260082.83826121077</v>
          </cell>
          <cell r="U55">
            <v>-261630.2916294953</v>
          </cell>
          <cell r="V55">
            <v>54265.647285613057</v>
          </cell>
          <cell r="X55">
            <v>222372</v>
          </cell>
          <cell r="Y55">
            <v>-81299.124427841438</v>
          </cell>
          <cell r="Z55">
            <v>2033927.0996599849</v>
          </cell>
          <cell r="AA55">
            <v>-2049935.0412538531</v>
          </cell>
          <cell r="AB55">
            <v>125064.93397829015</v>
          </cell>
          <cell r="AD55">
            <v>680981</v>
          </cell>
          <cell r="AE55">
            <v>-94041</v>
          </cell>
          <cell r="AF55">
            <v>2065467.2174262963</v>
          </cell>
          <cell r="AG55">
            <v>-2084579.8584537734</v>
          </cell>
          <cell r="AH55">
            <v>567827.35897252266</v>
          </cell>
        </row>
        <row r="59">
          <cell r="C59" t="str">
            <v>Sheet  &amp;  Foil  Division</v>
          </cell>
        </row>
        <row r="60">
          <cell r="C60" t="str">
            <v>Analysis of Finished Goods</v>
          </cell>
        </row>
        <row r="61">
          <cell r="C61" t="str">
            <v xml:space="preserve">for </v>
          </cell>
          <cell r="D61" t="str">
            <v>MAR 1999</v>
          </cell>
        </row>
        <row r="63">
          <cell r="C63" t="str">
            <v>Products</v>
          </cell>
          <cell r="H63" t="str">
            <v>mt</v>
          </cell>
          <cell r="N63" t="str">
            <v>Metal cost / mt</v>
          </cell>
          <cell r="T63" t="str">
            <v>Melt loss / mt</v>
          </cell>
          <cell r="Z63" t="str">
            <v>Direct cost / mt</v>
          </cell>
          <cell r="AF63" t="str">
            <v>Period cost / mt</v>
          </cell>
        </row>
        <row r="65">
          <cell r="F65" t="str">
            <v>Op'ing</v>
          </cell>
          <cell r="G65" t="str">
            <v>Sample &amp;</v>
          </cell>
          <cell r="H65" t="str">
            <v>Prodn</v>
          </cell>
          <cell r="I65" t="str">
            <v>Cost of</v>
          </cell>
          <cell r="J65" t="str">
            <v>Closing</v>
          </cell>
          <cell r="L65" t="str">
            <v>Op'ing</v>
          </cell>
          <cell r="M65" t="str">
            <v>Sample &amp;</v>
          </cell>
          <cell r="N65" t="str">
            <v>Prodn</v>
          </cell>
          <cell r="O65" t="str">
            <v>Cost of</v>
          </cell>
          <cell r="P65" t="str">
            <v>Closing</v>
          </cell>
          <cell r="R65" t="str">
            <v>Op'ing</v>
          </cell>
          <cell r="S65" t="str">
            <v>Sample&amp;</v>
          </cell>
          <cell r="T65" t="str">
            <v>Prodn</v>
          </cell>
          <cell r="U65" t="str">
            <v>Cost of</v>
          </cell>
          <cell r="V65" t="str">
            <v>Closing</v>
          </cell>
          <cell r="X65" t="str">
            <v>Op'ing</v>
          </cell>
          <cell r="Y65" t="str">
            <v>Sample &amp;</v>
          </cell>
          <cell r="Z65" t="str">
            <v>Prodn</v>
          </cell>
          <cell r="AA65" t="str">
            <v>Cost of</v>
          </cell>
          <cell r="AB65" t="str">
            <v>Closing</v>
          </cell>
          <cell r="AD65" t="str">
            <v>Op'ing</v>
          </cell>
          <cell r="AE65" t="str">
            <v>Sample &amp;</v>
          </cell>
          <cell r="AF65" t="str">
            <v>Prodn</v>
          </cell>
          <cell r="AG65" t="str">
            <v>Cost of</v>
          </cell>
          <cell r="AH65" t="str">
            <v>Closing</v>
          </cell>
        </row>
        <row r="66">
          <cell r="F66" t="str">
            <v>Bal.</v>
          </cell>
          <cell r="G66" t="str">
            <v>scrapping</v>
          </cell>
          <cell r="I66" t="str">
            <v>Sales</v>
          </cell>
          <cell r="J66" t="str">
            <v>Balance</v>
          </cell>
          <cell r="L66" t="str">
            <v>Bal.</v>
          </cell>
          <cell r="M66" t="str">
            <v>scrapping</v>
          </cell>
          <cell r="O66" t="str">
            <v>Sales</v>
          </cell>
          <cell r="P66" t="str">
            <v>Balance</v>
          </cell>
          <cell r="R66" t="str">
            <v>Bal.</v>
          </cell>
          <cell r="S66" t="str">
            <v>scrapping</v>
          </cell>
          <cell r="U66" t="str">
            <v>Sales</v>
          </cell>
          <cell r="V66" t="str">
            <v>Balance</v>
          </cell>
          <cell r="X66" t="str">
            <v>Bal.</v>
          </cell>
          <cell r="Y66" t="str">
            <v>scrapping</v>
          </cell>
          <cell r="AA66" t="str">
            <v>Sales</v>
          </cell>
          <cell r="AB66" t="str">
            <v>Balance</v>
          </cell>
          <cell r="AD66" t="str">
            <v>Bal.</v>
          </cell>
          <cell r="AE66" t="str">
            <v>scrapping</v>
          </cell>
          <cell r="AG66" t="str">
            <v>Sales</v>
          </cell>
          <cell r="AH66" t="str">
            <v>Balance</v>
          </cell>
        </row>
        <row r="68">
          <cell r="C68" t="str">
            <v>Tread Plate</v>
          </cell>
          <cell r="F68">
            <v>11.249000000000001</v>
          </cell>
          <cell r="G68">
            <v>0</v>
          </cell>
          <cell r="H68">
            <v>33.72</v>
          </cell>
          <cell r="I68">
            <v>-37.140999999999998</v>
          </cell>
          <cell r="J68">
            <v>7.828000000000003</v>
          </cell>
          <cell r="L68">
            <v>5099.1199217708236</v>
          </cell>
          <cell r="M68" t="e">
            <v>#DIV/0!</v>
          </cell>
          <cell r="N68">
            <v>5010.3188233056571</v>
          </cell>
          <cell r="O68">
            <v>5032.5324272691569</v>
          </cell>
          <cell r="P68">
            <v>5032.5324272691578</v>
          </cell>
          <cell r="R68">
            <v>87.029958218508312</v>
          </cell>
          <cell r="S68" t="e">
            <v>#DIV/0!</v>
          </cell>
          <cell r="T68">
            <v>102.85634626546766</v>
          </cell>
          <cell r="U68">
            <v>98.897373658999967</v>
          </cell>
          <cell r="V68">
            <v>98.897373658999939</v>
          </cell>
          <cell r="X68">
            <v>650.10223130944973</v>
          </cell>
          <cell r="Y68" t="e">
            <v>#DIV/0!</v>
          </cell>
          <cell r="Z68">
            <v>561.00219873873186</v>
          </cell>
          <cell r="AA68">
            <v>583.29058109964728</v>
          </cell>
          <cell r="AB68">
            <v>583.29058109964706</v>
          </cell>
          <cell r="AD68">
            <v>634.90088007822919</v>
          </cell>
          <cell r="AE68" t="e">
            <v>#DIV/0!</v>
          </cell>
          <cell r="AF68">
            <v>491.25489501342554</v>
          </cell>
          <cell r="AG68">
            <v>527.18795303103718</v>
          </cell>
          <cell r="AH68">
            <v>527.18795303103695</v>
          </cell>
        </row>
        <row r="69">
          <cell r="C69" t="str">
            <v>Flat sheet :</v>
          </cell>
        </row>
        <row r="70">
          <cell r="C70" t="str">
            <v xml:space="preserve"> - AQ 1 side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R70" t="e">
            <v>#DIV/0!</v>
          </cell>
          <cell r="S70" t="e">
            <v>#DIV/0!</v>
          </cell>
          <cell r="T70" t="e">
            <v>#DIV/0!</v>
          </cell>
          <cell r="U70" t="e">
            <v>#DIV/0!</v>
          </cell>
          <cell r="V70" t="e">
            <v>#DIV/0!</v>
          </cell>
          <cell r="X70" t="e">
            <v>#DIV/0!</v>
          </cell>
          <cell r="Y70" t="e">
            <v>#DIV/0!</v>
          </cell>
          <cell r="Z70" t="e">
            <v>#DIV/0!</v>
          </cell>
          <cell r="AA70" t="e">
            <v>#DIV/0!</v>
          </cell>
          <cell r="AB70" t="e">
            <v>#DIV/0!</v>
          </cell>
          <cell r="AD70" t="e">
            <v>#DIV/0!</v>
          </cell>
          <cell r="AE70" t="e">
            <v>#DIV/0!</v>
          </cell>
          <cell r="AF70" t="e">
            <v>#DIV/0!</v>
          </cell>
          <cell r="AG70" t="e">
            <v>#DIV/0!</v>
          </cell>
          <cell r="AH70" t="e">
            <v>#DIV/0!</v>
          </cell>
        </row>
        <row r="71">
          <cell r="C71" t="str">
            <v xml:space="preserve"> - AQ 2 side</v>
          </cell>
          <cell r="F71">
            <v>2.4E-2</v>
          </cell>
          <cell r="G71">
            <v>0</v>
          </cell>
          <cell r="H71">
            <v>0</v>
          </cell>
          <cell r="I71">
            <v>0</v>
          </cell>
          <cell r="J71">
            <v>2.4E-2</v>
          </cell>
          <cell r="L71">
            <v>5541.666666666667</v>
          </cell>
          <cell r="M71" t="e">
            <v>#DIV/0!</v>
          </cell>
          <cell r="N71" t="e">
            <v>#DIV/0!</v>
          </cell>
          <cell r="O71" t="e">
            <v>#DIV/0!</v>
          </cell>
          <cell r="P71">
            <v>5541.666666666667</v>
          </cell>
          <cell r="R71">
            <v>166.66666666666666</v>
          </cell>
          <cell r="S71" t="e">
            <v>#DIV/0!</v>
          </cell>
          <cell r="T71" t="e">
            <v>#DIV/0!</v>
          </cell>
          <cell r="U71" t="e">
            <v>#DIV/0!</v>
          </cell>
          <cell r="V71">
            <v>166.66666666666666</v>
          </cell>
          <cell r="X71">
            <v>583.33333333333337</v>
          </cell>
          <cell r="Y71" t="e">
            <v>#DIV/0!</v>
          </cell>
          <cell r="Z71" t="e">
            <v>#DIV/0!</v>
          </cell>
          <cell r="AA71" t="e">
            <v>#DIV/0!</v>
          </cell>
          <cell r="AB71">
            <v>583.33333333333337</v>
          </cell>
          <cell r="AD71">
            <v>666.66666666666663</v>
          </cell>
          <cell r="AE71" t="e">
            <v>#DIV/0!</v>
          </cell>
          <cell r="AF71" t="e">
            <v>#DIV/0!</v>
          </cell>
          <cell r="AG71" t="e">
            <v>#DIV/0!</v>
          </cell>
          <cell r="AH71">
            <v>666.66666666666663</v>
          </cell>
        </row>
        <row r="72">
          <cell r="C72" t="str">
            <v xml:space="preserve"> - Others</v>
          </cell>
          <cell r="F72">
            <v>102.56</v>
          </cell>
          <cell r="G72">
            <v>-4.3970000000000002</v>
          </cell>
          <cell r="H72">
            <v>255.11699999999999</v>
          </cell>
          <cell r="I72">
            <v>-311.39800000000002</v>
          </cell>
          <cell r="J72">
            <v>41.881999999999948</v>
          </cell>
          <cell r="L72">
            <v>5223.8592043681747</v>
          </cell>
          <cell r="M72">
            <v>5212.6230163488999</v>
          </cell>
          <cell r="N72">
            <v>5145.8803123080816</v>
          </cell>
          <cell r="O72">
            <v>5167.5261668710782</v>
          </cell>
          <cell r="P72">
            <v>5168.8871333960869</v>
          </cell>
          <cell r="R72">
            <v>106.64976599063962</v>
          </cell>
          <cell r="S72">
            <v>106.64976599063962</v>
          </cell>
          <cell r="T72">
            <v>116.65729615520101</v>
          </cell>
          <cell r="U72">
            <v>113.87658628330384</v>
          </cell>
          <cell r="V72">
            <v>113.87658628330389</v>
          </cell>
          <cell r="X72">
            <v>718.44773790951638</v>
          </cell>
          <cell r="Y72">
            <v>708.76418363534628</v>
          </cell>
          <cell r="Z72">
            <v>691.59541463555649</v>
          </cell>
          <cell r="AA72">
            <v>699.17717187538108</v>
          </cell>
          <cell r="AB72">
            <v>699.17717187538187</v>
          </cell>
          <cell r="AD72">
            <v>765.46411856474253</v>
          </cell>
          <cell r="AE72">
            <v>2750.9965089301772</v>
          </cell>
          <cell r="AF72">
            <v>676.07787688264705</v>
          </cell>
          <cell r="AG72">
            <v>676.20252509880061</v>
          </cell>
          <cell r="AH72">
            <v>676.20252509880117</v>
          </cell>
        </row>
        <row r="73">
          <cell r="C73" t="str">
            <v xml:space="preserve"> - Cladding</v>
          </cell>
          <cell r="F73">
            <v>44.176000000000002</v>
          </cell>
          <cell r="G73">
            <v>0</v>
          </cell>
          <cell r="H73">
            <v>214.71899999999999</v>
          </cell>
          <cell r="I73">
            <v>-252.911</v>
          </cell>
          <cell r="J73">
            <v>5.9839999999999804</v>
          </cell>
          <cell r="L73">
            <v>5231.1662441144508</v>
          </cell>
          <cell r="M73" t="e">
            <v>#DIV/0!</v>
          </cell>
          <cell r="N73">
            <v>5202.4358450618447</v>
          </cell>
          <cell r="O73">
            <v>5207.3381958548225</v>
          </cell>
          <cell r="P73">
            <v>5207.3381958548352</v>
          </cell>
          <cell r="R73">
            <v>113.90800434625136</v>
          </cell>
          <cell r="S73" t="e">
            <v>#DIV/0!</v>
          </cell>
          <cell r="T73">
            <v>122.41497910236828</v>
          </cell>
          <cell r="U73">
            <v>120.96340948215074</v>
          </cell>
          <cell r="V73">
            <v>120.96340948215091</v>
          </cell>
          <cell r="X73">
            <v>669.93390076059393</v>
          </cell>
          <cell r="Y73" t="e">
            <v>#DIV/0!</v>
          </cell>
          <cell r="Z73">
            <v>675.55845033558353</v>
          </cell>
          <cell r="AA73">
            <v>674.59871723133381</v>
          </cell>
          <cell r="AB73">
            <v>674.59871723133631</v>
          </cell>
          <cell r="AD73">
            <v>653.77127852227454</v>
          </cell>
          <cell r="AE73" t="e">
            <v>#DIV/0!</v>
          </cell>
          <cell r="AF73">
            <v>642.45590208400665</v>
          </cell>
          <cell r="AG73">
            <v>644.38667737722176</v>
          </cell>
          <cell r="AH73">
            <v>644.38667737722437</v>
          </cell>
        </row>
        <row r="74">
          <cell r="C74" t="str">
            <v xml:space="preserve"> - Painted</v>
          </cell>
          <cell r="F74">
            <v>0</v>
          </cell>
          <cell r="G74">
            <v>1.0269999999999999</v>
          </cell>
          <cell r="H74">
            <v>0</v>
          </cell>
          <cell r="I74">
            <v>0</v>
          </cell>
          <cell r="J74">
            <v>1.0269999999999999</v>
          </cell>
          <cell r="L74" t="e">
            <v>#DIV/0!</v>
          </cell>
          <cell r="M74">
            <v>5223.8592043681747</v>
          </cell>
          <cell r="N74" t="e">
            <v>#DIV/0!</v>
          </cell>
          <cell r="O74" t="e">
            <v>#DIV/0!</v>
          </cell>
          <cell r="P74">
            <v>5223.8592043681747</v>
          </cell>
          <cell r="R74" t="e">
            <v>#DIV/0!</v>
          </cell>
          <cell r="S74">
            <v>106.64976599063964</v>
          </cell>
          <cell r="T74" t="e">
            <v>#DIV/0!</v>
          </cell>
          <cell r="U74" t="e">
            <v>#DIV/0!</v>
          </cell>
          <cell r="V74">
            <v>106.64976599063964</v>
          </cell>
          <cell r="X74" t="e">
            <v>#DIV/0!</v>
          </cell>
          <cell r="Y74">
            <v>2576.2861020769947</v>
          </cell>
          <cell r="Z74" t="e">
            <v>#DIV/0!</v>
          </cell>
          <cell r="AA74" t="e">
            <v>#DIV/0!</v>
          </cell>
          <cell r="AB74">
            <v>1680.6901265355916</v>
          </cell>
          <cell r="AD74" t="e">
            <v>#DIV/0!</v>
          </cell>
          <cell r="AE74">
            <v>765.46411856474265</v>
          </cell>
          <cell r="AF74" t="e">
            <v>#DIV/0!</v>
          </cell>
          <cell r="AG74" t="e">
            <v>#DIV/0!</v>
          </cell>
          <cell r="AH74">
            <v>765.46411856474265</v>
          </cell>
        </row>
        <row r="75">
          <cell r="C75" t="str">
            <v xml:space="preserve"> - Total</v>
          </cell>
          <cell r="F75">
            <v>146.76</v>
          </cell>
          <cell r="G75">
            <v>-3.37</v>
          </cell>
          <cell r="H75">
            <v>469.83600000000001</v>
          </cell>
          <cell r="I75">
            <v>-564.30899999999997</v>
          </cell>
          <cell r="J75">
            <v>48.916999999999931</v>
          </cell>
          <cell r="L75">
            <v>5226.1106568547293</v>
          </cell>
          <cell r="M75">
            <v>5209.1988130563795</v>
          </cell>
          <cell r="N75">
            <v>5171.7266660088517</v>
          </cell>
          <cell r="O75">
            <v>5185.3690509333701</v>
          </cell>
          <cell r="P75">
            <v>5174.9278591854845</v>
          </cell>
          <cell r="R75">
            <v>108.84437176342328</v>
          </cell>
          <cell r="S75">
            <v>106.64976599063962</v>
          </cell>
          <cell r="T75">
            <v>119.28860564347524</v>
          </cell>
          <cell r="U75">
            <v>117.05274605045901</v>
          </cell>
          <cell r="V75">
            <v>114.61768993869026</v>
          </cell>
          <cell r="X75">
            <v>690.82174979558465</v>
          </cell>
          <cell r="Y75">
            <v>139.64103519630402</v>
          </cell>
          <cell r="Z75">
            <v>686.36972310828548</v>
          </cell>
          <cell r="AA75">
            <v>688.16164395985857</v>
          </cell>
          <cell r="AB75">
            <v>716.7202771296096</v>
          </cell>
          <cell r="AD75">
            <v>731.82747342600169</v>
          </cell>
          <cell r="AE75">
            <v>3356.0830860534124</v>
          </cell>
          <cell r="AF75">
            <v>660.71235187649756</v>
          </cell>
          <cell r="AG75">
            <v>661.94335527674889</v>
          </cell>
          <cell r="AH75">
            <v>674.17984920128572</v>
          </cell>
        </row>
        <row r="77">
          <cell r="C77" t="str">
            <v>Coil :</v>
          </cell>
        </row>
        <row r="78">
          <cell r="C78" t="str">
            <v xml:space="preserve"> - Painted</v>
          </cell>
          <cell r="F78">
            <v>3.15</v>
          </cell>
          <cell r="G78">
            <v>0</v>
          </cell>
          <cell r="H78">
            <v>0</v>
          </cell>
          <cell r="I78">
            <v>0</v>
          </cell>
          <cell r="J78">
            <v>3.15</v>
          </cell>
          <cell r="L78">
            <v>5088.8888888888887</v>
          </cell>
          <cell r="M78" t="e">
            <v>#DIV/0!</v>
          </cell>
          <cell r="N78" t="e">
            <v>#DIV/0!</v>
          </cell>
          <cell r="O78" t="e">
            <v>#DIV/0!</v>
          </cell>
          <cell r="P78">
            <v>5088.8888888888887</v>
          </cell>
          <cell r="R78">
            <v>105.71428571428572</v>
          </cell>
          <cell r="S78" t="e">
            <v>#DIV/0!</v>
          </cell>
          <cell r="T78" t="e">
            <v>#DIV/0!</v>
          </cell>
          <cell r="U78" t="e">
            <v>#DIV/0!</v>
          </cell>
          <cell r="V78">
            <v>105.71428571428572</v>
          </cell>
          <cell r="X78">
            <v>-1980</v>
          </cell>
          <cell r="Y78" t="e">
            <v>#DIV/0!</v>
          </cell>
          <cell r="Z78" t="e">
            <v>#DIV/0!</v>
          </cell>
          <cell r="AA78" t="e">
            <v>#DIV/0!</v>
          </cell>
          <cell r="AB78">
            <v>-662.34672414252327</v>
          </cell>
          <cell r="AD78">
            <v>1380.952380952381</v>
          </cell>
          <cell r="AE78" t="e">
            <v>#DIV/0!</v>
          </cell>
          <cell r="AF78" t="e">
            <v>#DIV/0!</v>
          </cell>
          <cell r="AG78" t="e">
            <v>#DIV/0!</v>
          </cell>
          <cell r="AH78">
            <v>1946.9842069767365</v>
          </cell>
        </row>
        <row r="79">
          <cell r="C79" t="str">
            <v xml:space="preserve"> - Others</v>
          </cell>
          <cell r="F79">
            <v>107.52200000000001</v>
          </cell>
          <cell r="G79">
            <v>-10.679</v>
          </cell>
          <cell r="H79">
            <v>246.50399999999999</v>
          </cell>
          <cell r="I79">
            <v>-252.69800000000001</v>
          </cell>
          <cell r="J79">
            <v>90.648999999999972</v>
          </cell>
          <cell r="L79">
            <v>5163.0736035416003</v>
          </cell>
          <cell r="M79">
            <v>5163.2175297312479</v>
          </cell>
          <cell r="N79">
            <v>5135.3113106854589</v>
          </cell>
          <cell r="O79">
            <v>5143.1373488896315</v>
          </cell>
          <cell r="P79">
            <v>5143.1373488896343</v>
          </cell>
          <cell r="R79">
            <v>98.482171090567505</v>
          </cell>
          <cell r="S79">
            <v>98.482171090567519</v>
          </cell>
          <cell r="T79">
            <v>115.58131017384532</v>
          </cell>
          <cell r="U79">
            <v>110.75839945599465</v>
          </cell>
          <cell r="V79">
            <v>110.75839945599471</v>
          </cell>
          <cell r="X79">
            <v>740.39731403805729</v>
          </cell>
          <cell r="Y79">
            <v>740.36041716675993</v>
          </cell>
          <cell r="Z79">
            <v>747.01024443703511</v>
          </cell>
          <cell r="AA79">
            <v>745.14617689912268</v>
          </cell>
          <cell r="AB79">
            <v>745.14617689912291</v>
          </cell>
          <cell r="AD79">
            <v>792.9819013783225</v>
          </cell>
          <cell r="AE79">
            <v>793.05178387489468</v>
          </cell>
          <cell r="AF79">
            <v>779.64264168817181</v>
          </cell>
          <cell r="AG79">
            <v>783.40288322513697</v>
          </cell>
          <cell r="AH79">
            <v>783.40288322513743</v>
          </cell>
        </row>
        <row r="80">
          <cell r="C80" t="str">
            <v xml:space="preserve"> - Total</v>
          </cell>
          <cell r="F80">
            <v>110.67200000000001</v>
          </cell>
          <cell r="G80">
            <v>-10.679</v>
          </cell>
          <cell r="H80">
            <v>246.50399999999999</v>
          </cell>
          <cell r="I80">
            <v>-252.69800000000001</v>
          </cell>
          <cell r="J80">
            <v>93.798999999999978</v>
          </cell>
          <cell r="L80">
            <v>5160.9621223073582</v>
          </cell>
          <cell r="M80">
            <v>5163.2175297312479</v>
          </cell>
          <cell r="N80">
            <v>5135.3113106854589</v>
          </cell>
          <cell r="O80">
            <v>5143.1373488896315</v>
          </cell>
          <cell r="P80">
            <v>5141.3155528256848</v>
          </cell>
          <cell r="R80">
            <v>98.688015035419966</v>
          </cell>
          <cell r="S80">
            <v>98.482171090567519</v>
          </cell>
          <cell r="T80">
            <v>115.58131017384532</v>
          </cell>
          <cell r="U80">
            <v>110.75839945599465</v>
          </cell>
          <cell r="V80">
            <v>110.58900577070612</v>
          </cell>
          <cell r="X80">
            <v>662.96804973254291</v>
          </cell>
          <cell r="Y80">
            <v>439.20862392769266</v>
          </cell>
          <cell r="Z80">
            <v>750.80169536258222</v>
          </cell>
          <cell r="AA80">
            <v>745.14617689912268</v>
          </cell>
          <cell r="AB80">
            <v>697.87912033901898</v>
          </cell>
          <cell r="AD80">
            <v>809.71700159028467</v>
          </cell>
          <cell r="AE80">
            <v>793.05178387489468</v>
          </cell>
          <cell r="AF80">
            <v>786.87579105685029</v>
          </cell>
          <cell r="AG80">
            <v>783.40288322513697</v>
          </cell>
          <cell r="AH80">
            <v>822.47879202819001</v>
          </cell>
        </row>
        <row r="81">
          <cell r="C81" t="str">
            <v>Reroll Coil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 t="e">
            <v>#DIV/0!</v>
          </cell>
          <cell r="M81" t="e">
            <v>#DIV/0!</v>
          </cell>
          <cell r="N81" t="e">
            <v>#DIV/0!</v>
          </cell>
          <cell r="O81" t="e">
            <v>#DIV/0!</v>
          </cell>
          <cell r="P81" t="e">
            <v>#DIV/0!</v>
          </cell>
          <cell r="R81" t="e">
            <v>#DIV/0!</v>
          </cell>
          <cell r="S81" t="e">
            <v>#DIV/0!</v>
          </cell>
          <cell r="T81" t="e">
            <v>#DIV/0!</v>
          </cell>
          <cell r="U81" t="e">
            <v>#DIV/0!</v>
          </cell>
          <cell r="V81" t="e">
            <v>#DIV/0!</v>
          </cell>
          <cell r="X81" t="e">
            <v>#DIV/0!</v>
          </cell>
          <cell r="Y81" t="e">
            <v>#DIV/0!</v>
          </cell>
          <cell r="Z81" t="e">
            <v>#DIV/0!</v>
          </cell>
          <cell r="AA81" t="e">
            <v>#DIV/0!</v>
          </cell>
          <cell r="AB81" t="e">
            <v>#DIV/0!</v>
          </cell>
          <cell r="AD81" t="e">
            <v>#DIV/0!</v>
          </cell>
          <cell r="AE81" t="e">
            <v>#DIV/0!</v>
          </cell>
          <cell r="AF81" t="e">
            <v>#DIV/0!</v>
          </cell>
          <cell r="AG81" t="e">
            <v>#DIV/0!</v>
          </cell>
          <cell r="AH81" t="e">
            <v>#DIV/0!</v>
          </cell>
        </row>
        <row r="82">
          <cell r="C82" t="str">
            <v>Circles :</v>
          </cell>
        </row>
        <row r="83">
          <cell r="C83" t="str">
            <v xml:space="preserve"> - AQ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 t="e">
            <v>#DIV/0!</v>
          </cell>
          <cell r="M83" t="e">
            <v>#DIV/0!</v>
          </cell>
          <cell r="N83" t="e">
            <v>#DIV/0!</v>
          </cell>
          <cell r="O83" t="e">
            <v>#DIV/0!</v>
          </cell>
          <cell r="P83" t="e">
            <v>#DIV/0!</v>
          </cell>
          <cell r="R83" t="e">
            <v>#DIV/0!</v>
          </cell>
          <cell r="S83" t="e">
            <v>#DIV/0!</v>
          </cell>
          <cell r="T83" t="e">
            <v>#DIV/0!</v>
          </cell>
          <cell r="U83" t="e">
            <v>#DIV/0!</v>
          </cell>
          <cell r="V83" t="e">
            <v>#DIV/0!</v>
          </cell>
          <cell r="X83" t="e">
            <v>#DIV/0!</v>
          </cell>
          <cell r="Y83" t="e">
            <v>#DIV/0!</v>
          </cell>
          <cell r="Z83" t="e">
            <v>#DIV/0!</v>
          </cell>
          <cell r="AA83" t="e">
            <v>#DIV/0!</v>
          </cell>
          <cell r="AB83" t="e">
            <v>#DIV/0!</v>
          </cell>
          <cell r="AD83" t="e">
            <v>#DIV/0!</v>
          </cell>
          <cell r="AE83" t="e">
            <v>#DIV/0!</v>
          </cell>
          <cell r="AF83" t="e">
            <v>#DIV/0!</v>
          </cell>
          <cell r="AG83" t="e">
            <v>#DIV/0!</v>
          </cell>
          <cell r="AH83" t="e">
            <v>#DIV/0!</v>
          </cell>
        </row>
        <row r="84">
          <cell r="C84" t="str">
            <v xml:space="preserve"> - Others</v>
          </cell>
          <cell r="F84">
            <v>16.579000000000001</v>
          </cell>
          <cell r="G84">
            <v>-2.173</v>
          </cell>
          <cell r="H84">
            <v>20.076000000000001</v>
          </cell>
          <cell r="I84">
            <v>-21.443000000000001</v>
          </cell>
          <cell r="J84">
            <v>13.038999999999998</v>
          </cell>
          <cell r="L84">
            <v>5470.9572350563967</v>
          </cell>
          <cell r="M84">
            <v>5471.2379199263687</v>
          </cell>
          <cell r="N84">
            <v>5649.5966449750567</v>
          </cell>
          <cell r="O84">
            <v>5574.9464139121637</v>
          </cell>
          <cell r="P84">
            <v>5574.9464139121646</v>
          </cell>
          <cell r="R84">
            <v>157.18680258157909</v>
          </cell>
          <cell r="S84">
            <v>157.18680258157912</v>
          </cell>
          <cell r="T84">
            <v>167.93855543417564</v>
          </cell>
          <cell r="U84">
            <v>163.44665381609937</v>
          </cell>
          <cell r="V84">
            <v>163.4466538160994</v>
          </cell>
          <cell r="X84">
            <v>1680.5597442547801</v>
          </cell>
          <cell r="Y84">
            <v>1680.3649691625533</v>
          </cell>
          <cell r="Z84">
            <v>2055.5903083049611</v>
          </cell>
          <cell r="AA84">
            <v>1898.9211168592358</v>
          </cell>
          <cell r="AB84">
            <v>1898.9211168592362</v>
          </cell>
          <cell r="AD84">
            <v>1635.5630617045661</v>
          </cell>
          <cell r="AE84">
            <v>1635.5269213069489</v>
          </cell>
          <cell r="AF84">
            <v>2050.5905944618075</v>
          </cell>
          <cell r="AG84">
            <v>1877.2013448876296</v>
          </cell>
          <cell r="AH84">
            <v>1877.2013448876301</v>
          </cell>
        </row>
        <row r="85">
          <cell r="C85" t="str">
            <v xml:space="preserve"> - Total</v>
          </cell>
          <cell r="F85">
            <v>16.579000000000001</v>
          </cell>
          <cell r="G85">
            <v>-2.173</v>
          </cell>
          <cell r="H85">
            <v>20.076000000000001</v>
          </cell>
          <cell r="I85">
            <v>-21.443000000000001</v>
          </cell>
          <cell r="J85">
            <v>13.038999999999998</v>
          </cell>
          <cell r="L85">
            <v>5470.9572350563967</v>
          </cell>
          <cell r="M85">
            <v>5471.2379199263687</v>
          </cell>
          <cell r="N85">
            <v>5649.5966449750567</v>
          </cell>
          <cell r="O85">
            <v>5574.9464139121637</v>
          </cell>
          <cell r="P85">
            <v>5574.9464139121646</v>
          </cell>
          <cell r="R85">
            <v>157.18680258157909</v>
          </cell>
          <cell r="S85">
            <v>157.18680258157912</v>
          </cell>
          <cell r="T85">
            <v>167.93855543417564</v>
          </cell>
          <cell r="U85">
            <v>163.44665381609937</v>
          </cell>
          <cell r="V85">
            <v>163.4466538160994</v>
          </cell>
          <cell r="X85">
            <v>1680.5597442547801</v>
          </cell>
          <cell r="Y85">
            <v>1680.3649691625533</v>
          </cell>
          <cell r="Z85">
            <v>2055.5903083049611</v>
          </cell>
          <cell r="AA85">
            <v>1898.9211168592358</v>
          </cell>
          <cell r="AB85">
            <v>1898.9211168592362</v>
          </cell>
          <cell r="AD85">
            <v>1635.5630617045661</v>
          </cell>
          <cell r="AE85">
            <v>1635.5269213069489</v>
          </cell>
          <cell r="AF85">
            <v>2050.5905944618075</v>
          </cell>
          <cell r="AG85">
            <v>1877.2013448876296</v>
          </cell>
          <cell r="AH85">
            <v>1877.2013448876301</v>
          </cell>
        </row>
        <row r="87">
          <cell r="C87" t="str">
            <v>Total Sheet</v>
          </cell>
          <cell r="F87">
            <v>285.26</v>
          </cell>
          <cell r="G87">
            <v>-16.222000000000001</v>
          </cell>
          <cell r="H87">
            <v>770.13600000000008</v>
          </cell>
          <cell r="I87">
            <v>-875.59099999999989</v>
          </cell>
          <cell r="J87">
            <v>163.58299999999991</v>
          </cell>
          <cell r="L87">
            <v>5210.057491411344</v>
          </cell>
          <cell r="M87">
            <v>5214.0303291825912</v>
          </cell>
          <cell r="N87">
            <v>5165.4609083934911</v>
          </cell>
          <cell r="O87">
            <v>5176.2384588096429</v>
          </cell>
          <cell r="P87">
            <v>5180.725342846973</v>
          </cell>
          <cell r="R87">
            <v>106.85339690107271</v>
          </cell>
          <cell r="S87">
            <v>108.04264199694225</v>
          </cell>
          <cell r="T87">
            <v>118.65071498952065</v>
          </cell>
          <cell r="U87">
            <v>115.60223671733371</v>
          </cell>
          <cell r="V87">
            <v>115.44745634404643</v>
          </cell>
          <cell r="X87">
            <v>735.93213209002317</v>
          </cell>
          <cell r="Y87">
            <v>543.2334028803848</v>
          </cell>
          <cell r="Z87">
            <v>737.19687368330108</v>
          </cell>
          <cell r="AA87">
            <v>729.81028668959937</v>
          </cell>
          <cell r="AB87">
            <v>793.76341378140989</v>
          </cell>
          <cell r="AD87">
            <v>810.74808946224505</v>
          </cell>
          <cell r="AE87">
            <v>1438.3553199358894</v>
          </cell>
          <cell r="AF87">
            <v>729.90647157020555</v>
          </cell>
          <cell r="AG87">
            <v>721.04218848759717</v>
          </cell>
          <cell r="AH87">
            <v>848.07222956632563</v>
          </cell>
        </row>
        <row r="89">
          <cell r="C89" t="str">
            <v>Roofing Sheet :</v>
          </cell>
        </row>
        <row r="90">
          <cell r="C90" t="str">
            <v xml:space="preserve"> - 6P &amp; Alrib Plain</v>
          </cell>
          <cell r="F90">
            <v>6.2469999999999999</v>
          </cell>
          <cell r="G90">
            <v>-0.83399999999999996</v>
          </cell>
          <cell r="H90">
            <v>10.455</v>
          </cell>
          <cell r="I90">
            <v>-12.188000000000001</v>
          </cell>
          <cell r="J90">
            <v>3.6799999999999997</v>
          </cell>
          <cell r="L90">
            <v>5223.9474947975032</v>
          </cell>
          <cell r="M90">
            <v>5223.9474947975032</v>
          </cell>
          <cell r="N90">
            <v>5197.2404221794222</v>
          </cell>
          <cell r="O90">
            <v>5206.3509202939713</v>
          </cell>
          <cell r="P90">
            <v>5206.3509202939713</v>
          </cell>
          <cell r="R90">
            <v>112.53401632783736</v>
          </cell>
          <cell r="S90">
            <v>112.53401632783736</v>
          </cell>
          <cell r="T90">
            <v>121.88605476416633</v>
          </cell>
          <cell r="U90">
            <v>118.69582385568079</v>
          </cell>
          <cell r="V90">
            <v>118.6958238556808</v>
          </cell>
          <cell r="X90">
            <v>1124.3797022570834</v>
          </cell>
          <cell r="Y90">
            <v>1124.3797022570834</v>
          </cell>
          <cell r="Z90">
            <v>862.96775805252082</v>
          </cell>
          <cell r="AA90">
            <v>952.14237703281424</v>
          </cell>
          <cell r="AB90">
            <v>952.14237703281458</v>
          </cell>
          <cell r="AD90">
            <v>1287.3379222026574</v>
          </cell>
          <cell r="AE90">
            <v>1287.3379222026574</v>
          </cell>
          <cell r="AF90">
            <v>714.75677134575369</v>
          </cell>
          <cell r="AG90">
            <v>910.07954482624393</v>
          </cell>
          <cell r="AH90">
            <v>910.07954482624393</v>
          </cell>
        </row>
        <row r="91">
          <cell r="C91" t="str">
            <v xml:space="preserve"> - 6P &amp; Alrib Painted</v>
          </cell>
          <cell r="F91">
            <v>0.183</v>
          </cell>
          <cell r="G91">
            <v>0.83399999999999996</v>
          </cell>
          <cell r="H91">
            <v>0</v>
          </cell>
          <cell r="I91">
            <v>-1.0169999999999999</v>
          </cell>
          <cell r="J91">
            <v>0</v>
          </cell>
          <cell r="L91">
            <v>10562.841530054646</v>
          </cell>
          <cell r="M91">
            <v>5223.9474947975032</v>
          </cell>
          <cell r="N91" t="e">
            <v>#DIV/0!</v>
          </cell>
          <cell r="O91">
            <v>6184.6334421446591</v>
          </cell>
          <cell r="P91" t="e">
            <v>#DIV/0!</v>
          </cell>
          <cell r="R91">
            <v>1027.3224043715848</v>
          </cell>
          <cell r="S91">
            <v>112.53401632783736</v>
          </cell>
          <cell r="T91" t="e">
            <v>#DIV/0!</v>
          </cell>
          <cell r="U91">
            <v>277.14195635930815</v>
          </cell>
          <cell r="V91" t="e">
            <v>#DIV/0!</v>
          </cell>
          <cell r="X91">
            <v>4355.1912568306016</v>
          </cell>
          <cell r="Y91">
            <v>-5019.5051898292477</v>
          </cell>
          <cell r="Z91" t="e">
            <v>#DIV/0!</v>
          </cell>
          <cell r="AA91">
            <v>4150.1796181734589</v>
          </cell>
          <cell r="AB91">
            <v>3761</v>
          </cell>
          <cell r="AD91">
            <v>4475.4098360655735</v>
          </cell>
          <cell r="AE91">
            <v>1287.3379222026574</v>
          </cell>
          <cell r="AF91" t="e">
            <v>#DIV/0!</v>
          </cell>
          <cell r="AG91">
            <v>1861.0027798594065</v>
          </cell>
          <cell r="AH91" t="e">
            <v>#DIV/0!</v>
          </cell>
        </row>
        <row r="93">
          <cell r="C93" t="str">
            <v xml:space="preserve"> - Payung Plain</v>
          </cell>
          <cell r="F93">
            <v>23.803999999999998</v>
          </cell>
          <cell r="G93">
            <v>-1.327</v>
          </cell>
          <cell r="H93">
            <v>24.928000000000001</v>
          </cell>
          <cell r="I93">
            <v>-41.959000000000003</v>
          </cell>
          <cell r="J93">
            <v>5.445999999999998</v>
          </cell>
          <cell r="L93">
            <v>5092.2534027894471</v>
          </cell>
          <cell r="M93">
            <v>5091.9366993217782</v>
          </cell>
          <cell r="N93">
            <v>4954.5943294773942</v>
          </cell>
          <cell r="O93">
            <v>5019.8740100245222</v>
          </cell>
          <cell r="P93">
            <v>5137.510793829344</v>
          </cell>
          <cell r="R93">
            <v>86.330028566627462</v>
          </cell>
          <cell r="S93">
            <v>86.330028566627462</v>
          </cell>
          <cell r="T93">
            <v>97.183267925786268</v>
          </cell>
          <cell r="U93">
            <v>92.037222971123001</v>
          </cell>
          <cell r="V93">
            <v>0</v>
          </cell>
          <cell r="X93">
            <v>1199.1261972777686</v>
          </cell>
          <cell r="Y93">
            <v>1199.2766029329957</v>
          </cell>
          <cell r="Z93">
            <v>1313.81583112974</v>
          </cell>
          <cell r="AA93">
            <v>1259.4317263223304</v>
          </cell>
          <cell r="AB93">
            <v>1259.4317263223293</v>
          </cell>
          <cell r="AD93">
            <v>1222.2315577213915</v>
          </cell>
          <cell r="AE93">
            <v>1222.3059532780708</v>
          </cell>
          <cell r="AF93">
            <v>1145.9701063429284</v>
          </cell>
          <cell r="AG93">
            <v>1182.1272610677463</v>
          </cell>
          <cell r="AH93">
            <v>1182.1272610677465</v>
          </cell>
        </row>
        <row r="94">
          <cell r="C94" t="str">
            <v xml:space="preserve"> - Payung Painted</v>
          </cell>
        </row>
        <row r="96">
          <cell r="C96" t="str">
            <v>Total Roofing</v>
          </cell>
          <cell r="F96">
            <v>30.233999999999998</v>
          </cell>
          <cell r="G96">
            <v>-1.327</v>
          </cell>
          <cell r="H96">
            <v>35.383000000000003</v>
          </cell>
          <cell r="I96">
            <v>-55.164000000000001</v>
          </cell>
          <cell r="J96">
            <v>9.1259999999999977</v>
          </cell>
          <cell r="L96">
            <v>5152.5765694251504</v>
          </cell>
          <cell r="M96">
            <v>5091.9366993217782</v>
          </cell>
          <cell r="N96">
            <v>5026.2916106350031</v>
          </cell>
          <cell r="O96">
            <v>5082.5478720510291</v>
          </cell>
          <cell r="P96">
            <v>5095.0696082922814</v>
          </cell>
          <cell r="R96">
            <v>97.43996824766819</v>
          </cell>
          <cell r="S96">
            <v>86.330028566627462</v>
          </cell>
          <cell r="T96">
            <v>104.48246913527285</v>
          </cell>
          <cell r="U96">
            <v>101.33978517540069</v>
          </cell>
          <cell r="V96">
            <v>102.78712996818325</v>
          </cell>
          <cell r="X96">
            <v>1202.784944102666</v>
          </cell>
          <cell r="Y96">
            <v>5060.6179744476904</v>
          </cell>
          <cell r="Z96">
            <v>1395.6738814922778</v>
          </cell>
          <cell r="AA96">
            <v>1244.8324952453959</v>
          </cell>
          <cell r="AB96">
            <v>1135.5192996967085</v>
          </cell>
          <cell r="AD96">
            <v>1255.3747436660715</v>
          </cell>
          <cell r="AE96">
            <v>1222.3059532780708</v>
          </cell>
          <cell r="AF96">
            <v>1018.5548103704144</v>
          </cell>
          <cell r="AG96">
            <v>1134.536419886173</v>
          </cell>
          <cell r="AH96">
            <v>1072.425793199159</v>
          </cell>
        </row>
        <row r="98">
          <cell r="C98" t="str">
            <v>Total Sheet &amp; Roofing</v>
          </cell>
          <cell r="F98">
            <v>315.49399999999997</v>
          </cell>
          <cell r="G98">
            <v>-17.548999999999999</v>
          </cell>
          <cell r="H98">
            <v>805.51900000000012</v>
          </cell>
          <cell r="I98">
            <v>-930.75499999999988</v>
          </cell>
          <cell r="J98">
            <v>172.70899999999992</v>
          </cell>
          <cell r="L98">
            <v>5204.5490564004394</v>
          </cell>
          <cell r="M98">
            <v>5204.7979941877029</v>
          </cell>
          <cell r="N98">
            <v>5159.347797141505</v>
          </cell>
          <cell r="O98">
            <v>5170.6856038392671</v>
          </cell>
          <cell r="P98">
            <v>5176.1992658414538</v>
          </cell>
          <cell r="R98">
            <v>105.95130176802095</v>
          </cell>
          <cell r="S98">
            <v>106.40080268860402</v>
          </cell>
          <cell r="T98">
            <v>118.02836462526994</v>
          </cell>
          <cell r="U98">
            <v>114.75692954535054</v>
          </cell>
          <cell r="V98">
            <v>114.77848056104654</v>
          </cell>
          <cell r="X98">
            <v>780.67094778347609</v>
          </cell>
          <cell r="Y98">
            <v>884.82376851203435</v>
          </cell>
          <cell r="Z98">
            <v>766.12094868004851</v>
          </cell>
          <cell r="AA98">
            <v>760.3346299515448</v>
          </cell>
          <cell r="AB98">
            <v>811.8219064764229</v>
          </cell>
          <cell r="AD98">
            <v>853.35695766005063</v>
          </cell>
          <cell r="AE98">
            <v>1422.0183486238532</v>
          </cell>
          <cell r="AF98">
            <v>742.58555694468816</v>
          </cell>
          <cell r="AG98">
            <v>745.54917021841902</v>
          </cell>
          <cell r="AH98">
            <v>859.92714518573871</v>
          </cell>
        </row>
        <row r="100">
          <cell r="C100" t="str">
            <v>Foil :</v>
          </cell>
        </row>
        <row r="101">
          <cell r="C101" t="str">
            <v xml:space="preserve"> - Cable</v>
          </cell>
          <cell r="F101">
            <v>21.273</v>
          </cell>
          <cell r="G101">
            <v>-0.60199999999999998</v>
          </cell>
          <cell r="H101">
            <v>43.975999999999999</v>
          </cell>
          <cell r="I101">
            <v>-64.647000000000006</v>
          </cell>
          <cell r="J101">
            <v>-1.4210854715202004E-14</v>
          </cell>
          <cell r="L101">
            <v>5142.010999858976</v>
          </cell>
          <cell r="M101">
            <v>5141.1960132890363</v>
          </cell>
          <cell r="N101">
            <v>5296.1770798847729</v>
          </cell>
          <cell r="O101">
            <v>5246.8897746997191</v>
          </cell>
          <cell r="P101">
            <v>0</v>
          </cell>
          <cell r="R101">
            <v>93.451793353076667</v>
          </cell>
          <cell r="S101">
            <v>93.451793353076667</v>
          </cell>
          <cell r="T101">
            <v>131.95838330892593</v>
          </cell>
          <cell r="U101">
            <v>119.64582865090064</v>
          </cell>
          <cell r="V101">
            <v>0</v>
          </cell>
          <cell r="X101">
            <v>734.92220185211306</v>
          </cell>
          <cell r="Y101">
            <v>735.45186113197326</v>
          </cell>
          <cell r="Z101">
            <v>985.76987999591768</v>
          </cell>
          <cell r="AA101">
            <v>905.55593024114069</v>
          </cell>
          <cell r="AB101">
            <v>0</v>
          </cell>
          <cell r="AD101">
            <v>765.947445118225</v>
          </cell>
          <cell r="AE101">
            <v>765.78073089701002</v>
          </cell>
          <cell r="AF101">
            <v>1104.3242098964961</v>
          </cell>
          <cell r="AG101">
            <v>996.12915455331733</v>
          </cell>
          <cell r="AH101">
            <v>0</v>
          </cell>
        </row>
        <row r="102">
          <cell r="C102" t="str">
            <v xml:space="preserve"> - Finstock</v>
          </cell>
          <cell r="F102">
            <v>174.18199999999999</v>
          </cell>
          <cell r="G102">
            <v>-7.4690000000000003</v>
          </cell>
          <cell r="H102">
            <v>500.88600000000002</v>
          </cell>
          <cell r="I102">
            <v>-452.33699999999999</v>
          </cell>
          <cell r="J102">
            <v>215.26200000000006</v>
          </cell>
          <cell r="L102">
            <v>5220.5164712771702</v>
          </cell>
          <cell r="M102">
            <v>5220.5114473155709</v>
          </cell>
          <cell r="N102">
            <v>5114.1933280917892</v>
          </cell>
          <cell r="O102">
            <v>5140.7444279194306</v>
          </cell>
          <cell r="P102">
            <v>5140.7444279194297</v>
          </cell>
          <cell r="R102">
            <v>109.60374780402108</v>
          </cell>
          <cell r="S102">
            <v>109.60374780402108</v>
          </cell>
          <cell r="T102">
            <v>113.43137643018234</v>
          </cell>
          <cell r="U102">
            <v>112.47553999071312</v>
          </cell>
          <cell r="V102">
            <v>112.47553999071307</v>
          </cell>
          <cell r="X102">
            <v>1075.5933448921244</v>
          </cell>
          <cell r="Y102">
            <v>1075.5616023097825</v>
          </cell>
          <cell r="Z102">
            <v>919.82738968719718</v>
          </cell>
          <cell r="AA102">
            <v>958.72566061843986</v>
          </cell>
          <cell r="AB102">
            <v>958.72566061843895</v>
          </cell>
          <cell r="AD102">
            <v>1145.198700210125</v>
          </cell>
          <cell r="AE102">
            <v>1141.2505020752442</v>
          </cell>
          <cell r="AF102">
            <v>973.89105453433399</v>
          </cell>
          <cell r="AG102">
            <v>1016.7142172793615</v>
          </cell>
          <cell r="AH102">
            <v>1016.7142172793613</v>
          </cell>
        </row>
        <row r="103">
          <cell r="C103" t="str">
            <v xml:space="preserve"> - Bare fin</v>
          </cell>
          <cell r="F103">
            <v>42.408999999999999</v>
          </cell>
          <cell r="G103">
            <v>-46.113999999999997</v>
          </cell>
          <cell r="H103">
            <v>770.08199999999999</v>
          </cell>
          <cell r="I103">
            <v>-744.03499999999997</v>
          </cell>
          <cell r="J103">
            <v>22.341999999999985</v>
          </cell>
          <cell r="L103">
            <v>5129.595133108538</v>
          </cell>
          <cell r="M103">
            <v>5220.5187144901765</v>
          </cell>
          <cell r="N103">
            <v>5142.9173901513814</v>
          </cell>
          <cell r="O103">
            <v>5137.5107938293504</v>
          </cell>
          <cell r="P103">
            <v>0</v>
          </cell>
          <cell r="R103">
            <v>91.70223301657667</v>
          </cell>
          <cell r="S103">
            <v>91.702233016576685</v>
          </cell>
          <cell r="T103">
            <v>116.3556534061231</v>
          </cell>
          <cell r="U103">
            <v>116.47483877121532</v>
          </cell>
          <cell r="V103">
            <v>116.47483877121539</v>
          </cell>
          <cell r="X103">
            <v>871.48954231413143</v>
          </cell>
          <cell r="Y103">
            <v>1093.4909837939365</v>
          </cell>
          <cell r="Z103">
            <v>851.76652031921094</v>
          </cell>
          <cell r="AA103">
            <v>838.31302645275753</v>
          </cell>
          <cell r="AB103">
            <v>838.3130264527606</v>
          </cell>
          <cell r="AD103">
            <v>1000.0471598009857</v>
          </cell>
          <cell r="AE103">
            <v>1145.205360628009</v>
          </cell>
          <cell r="AF103">
            <v>963.19574902569195</v>
          </cell>
          <cell r="AG103">
            <v>954.28321674737492</v>
          </cell>
          <cell r="AH103">
            <v>954.28321674737481</v>
          </cell>
        </row>
        <row r="104">
          <cell r="C104" t="str">
            <v xml:space="preserve"> - Diap Prelube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R104" t="e">
            <v>#DIV/0!</v>
          </cell>
          <cell r="S104" t="e">
            <v>#DIV/0!</v>
          </cell>
          <cell r="T104" t="e">
            <v>#DIV/0!</v>
          </cell>
          <cell r="U104" t="e">
            <v>#DIV/0!</v>
          </cell>
          <cell r="V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  <cell r="AA104" t="e">
            <v>#DIV/0!</v>
          </cell>
          <cell r="AB104" t="e">
            <v>#DIV/0!</v>
          </cell>
          <cell r="AD104" t="e">
            <v>#DIV/0!</v>
          </cell>
          <cell r="AE104" t="e">
            <v>#DIV/0!</v>
          </cell>
          <cell r="AF104" t="e">
            <v>#DIV/0!</v>
          </cell>
          <cell r="AG104" t="e">
            <v>#DIV/0!</v>
          </cell>
          <cell r="AH104" t="e">
            <v>#DIV/0!</v>
          </cell>
        </row>
        <row r="105">
          <cell r="C105" t="str">
            <v xml:space="preserve"> - Lacquered</v>
          </cell>
          <cell r="F105">
            <v>7.1779999999999999</v>
          </cell>
          <cell r="G105">
            <v>-0.53600000000000003</v>
          </cell>
          <cell r="H105">
            <v>49.262</v>
          </cell>
          <cell r="I105">
            <v>-39.935000000000002</v>
          </cell>
          <cell r="J105">
            <v>15.968999999999994</v>
          </cell>
          <cell r="L105">
            <v>5201.1702424073555</v>
          </cell>
          <cell r="M105">
            <v>5417.9104477611936</v>
          </cell>
          <cell r="N105">
            <v>5366.2980996579136</v>
          </cell>
          <cell r="O105">
            <v>5344.6010479634397</v>
          </cell>
          <cell r="P105">
            <v>5344.6010479634415</v>
          </cell>
          <cell r="R105">
            <v>102.39621064363332</v>
          </cell>
          <cell r="S105">
            <v>102.39621064363331</v>
          </cell>
          <cell r="T105">
            <v>139.09711192003485</v>
          </cell>
          <cell r="U105">
            <v>134.73664779800674</v>
          </cell>
          <cell r="V105">
            <v>134.73664779800683</v>
          </cell>
          <cell r="X105">
            <v>-51537.196990805242</v>
          </cell>
          <cell r="Y105">
            <v>8707.3052818936794</v>
          </cell>
          <cell r="Z105">
            <v>3042.9716466148138</v>
          </cell>
          <cell r="AA105">
            <v>3491.7890642291459</v>
          </cell>
          <cell r="AB105">
            <v>-22803.108689056742</v>
          </cell>
          <cell r="AD105">
            <v>1770.1309556979661</v>
          </cell>
          <cell r="AE105">
            <v>9100.746268656716</v>
          </cell>
          <cell r="AF105">
            <v>1146.4442459307725</v>
          </cell>
          <cell r="AG105">
            <v>1150.2600250973401</v>
          </cell>
          <cell r="AH105">
            <v>1150.2600250973408</v>
          </cell>
        </row>
        <row r="106">
          <cell r="C106" t="str">
            <v xml:space="preserve"> - Plain &gt; 30 um</v>
          </cell>
          <cell r="F106">
            <v>22.082999999999998</v>
          </cell>
          <cell r="G106">
            <v>-2.9180000000000001</v>
          </cell>
          <cell r="H106">
            <v>11.356</v>
          </cell>
          <cell r="I106">
            <v>-13.15</v>
          </cell>
          <cell r="J106">
            <v>17.371000000000002</v>
          </cell>
          <cell r="L106">
            <v>5192.7727210976773</v>
          </cell>
          <cell r="M106">
            <v>5212.1403495572822</v>
          </cell>
          <cell r="N106">
            <v>5444.5670252961563</v>
          </cell>
          <cell r="O106">
            <v>5284.6065856051573</v>
          </cell>
          <cell r="P106">
            <v>5284.6065856051555</v>
          </cell>
          <cell r="R106">
            <v>103.20155775936242</v>
          </cell>
          <cell r="S106">
            <v>103.2015577593624</v>
          </cell>
          <cell r="T106">
            <v>147.06534484964902</v>
          </cell>
          <cell r="U106">
            <v>119.52203107928294</v>
          </cell>
          <cell r="V106">
            <v>119.52203107928293</v>
          </cell>
          <cell r="X106">
            <v>974.3241407417471</v>
          </cell>
          <cell r="Y106">
            <v>1049.4295820891566</v>
          </cell>
          <cell r="Z106">
            <v>1660.2969313856408</v>
          </cell>
          <cell r="AA106">
            <v>1222.3746414691254</v>
          </cell>
          <cell r="AB106">
            <v>1222.3746414691252</v>
          </cell>
          <cell r="AD106">
            <v>1119.1867047049768</v>
          </cell>
          <cell r="AE106">
            <v>1165.223671538653</v>
          </cell>
          <cell r="AF106">
            <v>1940.7737105110441</v>
          </cell>
          <cell r="AG106">
            <v>1420.4745448384269</v>
          </cell>
          <cell r="AH106">
            <v>1420.4745448384263</v>
          </cell>
        </row>
        <row r="107">
          <cell r="C107" t="str">
            <v xml:space="preserve"> - Plain &lt; 30 um</v>
          </cell>
          <cell r="F107">
            <v>0</v>
          </cell>
          <cell r="G107">
            <v>0.88200000000000001</v>
          </cell>
          <cell r="H107">
            <v>9.0960000000000001</v>
          </cell>
          <cell r="I107">
            <v>-9.9779999999999998</v>
          </cell>
          <cell r="J107">
            <v>0</v>
          </cell>
          <cell r="L107" t="e">
            <v>#DIV/0!</v>
          </cell>
          <cell r="M107">
            <v>5192.7727210976773</v>
          </cell>
          <cell r="N107">
            <v>5629.2669321540852</v>
          </cell>
          <cell r="O107">
            <v>5590.6832586572173</v>
          </cell>
          <cell r="P107" t="e">
            <v>#DIV/0!</v>
          </cell>
          <cell r="R107" t="e">
            <v>#DIV/0!</v>
          </cell>
          <cell r="S107">
            <v>103.20155775936242</v>
          </cell>
          <cell r="T107">
            <v>165.86887214890373</v>
          </cell>
          <cell r="U107">
            <v>160.32942824315356</v>
          </cell>
          <cell r="V107" t="e">
            <v>#DIV/0!</v>
          </cell>
          <cell r="X107" t="e">
            <v>#DIV/0!</v>
          </cell>
          <cell r="Y107">
            <v>974.3241407417471</v>
          </cell>
          <cell r="Z107">
            <v>4387.0009562755995</v>
          </cell>
          <cell r="AA107">
            <v>4085.3392052933527</v>
          </cell>
          <cell r="AB107" t="e">
            <v>#DIV/0!</v>
          </cell>
          <cell r="AD107" t="e">
            <v>#DIV/0!</v>
          </cell>
          <cell r="AE107">
            <v>1119.1867047049766</v>
          </cell>
          <cell r="AF107">
            <v>5600.1012086551918</v>
          </cell>
          <cell r="AG107">
            <v>5204.0131556902606</v>
          </cell>
          <cell r="AH107" t="e">
            <v>#DIV/0!</v>
          </cell>
        </row>
        <row r="108">
          <cell r="C108" t="str">
            <v xml:space="preserve"> - Plain &lt; 30 um</v>
          </cell>
          <cell r="F108">
            <v>12.763</v>
          </cell>
          <cell r="G108">
            <v>0</v>
          </cell>
          <cell r="H108">
            <v>11.909000000000001</v>
          </cell>
          <cell r="I108">
            <v>-5.5830000000000002</v>
          </cell>
          <cell r="J108">
            <v>19.088999999999999</v>
          </cell>
          <cell r="L108">
            <v>5416.6731959570634</v>
          </cell>
          <cell r="M108" t="e">
            <v>#DIV/0!</v>
          </cell>
          <cell r="N108">
            <v>6272.4607529135656</v>
          </cell>
          <cell r="O108">
            <v>5829.7558003586109</v>
          </cell>
          <cell r="P108">
            <v>5829.7558003586109</v>
          </cell>
          <cell r="R108">
            <v>135.62642012066129</v>
          </cell>
          <cell r="S108" t="e">
            <v>#DIV/0!</v>
          </cell>
          <cell r="T108">
            <v>231.34975285484646</v>
          </cell>
          <cell r="U108">
            <v>178.14204088864335</v>
          </cell>
          <cell r="V108">
            <v>178.14204088864341</v>
          </cell>
          <cell r="X108">
            <v>6624.6963879965524</v>
          </cell>
          <cell r="Y108" t="e">
            <v>#DIV/0!</v>
          </cell>
          <cell r="Z108">
            <v>4041.633524185329</v>
          </cell>
          <cell r="AA108">
            <v>5377.870202639554</v>
          </cell>
          <cell r="AB108">
            <v>5377.8702026395549</v>
          </cell>
          <cell r="AD108">
            <v>9100.7600094021782</v>
          </cell>
          <cell r="AE108" t="e">
            <v>#DIV/0!</v>
          </cell>
          <cell r="AF108">
            <v>5015.9118222469933</v>
          </cell>
          <cell r="AG108">
            <v>7129.0326641998809</v>
          </cell>
          <cell r="AH108">
            <v>7129.0326641998809</v>
          </cell>
        </row>
        <row r="109">
          <cell r="C109" t="str">
            <v>Total foil</v>
          </cell>
          <cell r="F109">
            <v>279.88799999999998</v>
          </cell>
          <cell r="G109">
            <v>-56.756999999999998</v>
          </cell>
          <cell r="H109">
            <v>1396.567</v>
          </cell>
          <cell r="I109">
            <v>-1329.6650000000002</v>
          </cell>
          <cell r="J109">
            <v>290.03300000000002</v>
          </cell>
          <cell r="L109">
            <v>5207.0328131252509</v>
          </cell>
          <cell r="M109">
            <v>5221.5409553006675</v>
          </cell>
          <cell r="N109">
            <v>5160.5732195362516</v>
          </cell>
          <cell r="O109">
            <v>5157.910468187878</v>
          </cell>
          <cell r="P109">
            <v>5205.6843076651567</v>
          </cell>
          <cell r="R109">
            <v>106.1603212713657</v>
          </cell>
          <cell r="S109">
            <v>96.193802697817176</v>
          </cell>
          <cell r="T109">
            <v>118.15311976913955</v>
          </cell>
          <cell r="U109">
            <v>116.43512138058274</v>
          </cell>
          <cell r="V109">
            <v>118.75328216580624</v>
          </cell>
          <cell r="X109">
            <v>-85.480620819756481</v>
          </cell>
          <cell r="Y109">
            <v>1158.8236184827201</v>
          </cell>
          <cell r="Z109">
            <v>1014.4891861258219</v>
          </cell>
          <cell r="AA109">
            <v>1009.4646266189627</v>
          </cell>
          <cell r="AB109">
            <v>-52.214801996139421</v>
          </cell>
          <cell r="AD109">
            <v>1471.1313096667241</v>
          </cell>
          <cell r="AE109">
            <v>1217.2243071339219</v>
          </cell>
          <cell r="AF109">
            <v>1050.6480836091416</v>
          </cell>
          <cell r="AG109">
            <v>1045.8696292127179</v>
          </cell>
          <cell r="AH109">
            <v>1445.7327326705547</v>
          </cell>
        </row>
        <row r="111">
          <cell r="C111" t="str">
            <v>Total Rolled Products</v>
          </cell>
          <cell r="F111">
            <v>595.38199999999995</v>
          </cell>
          <cell r="G111">
            <v>-74.305999999999997</v>
          </cell>
          <cell r="H111">
            <v>2202.0860000000002</v>
          </cell>
          <cell r="I111">
            <v>-2260.42</v>
          </cell>
          <cell r="J111">
            <v>462.74199999999996</v>
          </cell>
          <cell r="L111">
            <v>5205.7166659388431</v>
          </cell>
          <cell r="M111">
            <v>5217.5867359298036</v>
          </cell>
          <cell r="N111">
            <v>5160.1249622829046</v>
          </cell>
          <cell r="O111">
            <v>5163.1707832546399</v>
          </cell>
          <cell r="P111">
            <v>5194.679618036098</v>
          </cell>
          <cell r="R111">
            <v>106.04956145802191</v>
          </cell>
          <cell r="S111">
            <v>98.60441076228463</v>
          </cell>
          <cell r="T111">
            <v>118.10748456745593</v>
          </cell>
          <cell r="U111">
            <v>115.74410579869904</v>
          </cell>
          <cell r="V111">
            <v>117.26976865210649</v>
          </cell>
          <cell r="X111">
            <v>373.49466393004832</v>
          </cell>
          <cell r="Y111">
            <v>1094.1125134961032</v>
          </cell>
          <cell r="Z111">
            <v>923.63654265091589</v>
          </cell>
          <cell r="AA111">
            <v>906.88236754844365</v>
          </cell>
          <cell r="AB111">
            <v>270.26925150146337</v>
          </cell>
          <cell r="AD111">
            <v>1143.7715617872225</v>
          </cell>
          <cell r="AE111">
            <v>1265.5909347831939</v>
          </cell>
          <cell r="AF111">
            <v>937.9593791642543</v>
          </cell>
          <cell r="AG111">
            <v>922.20908435324998</v>
          </cell>
          <cell r="AH111">
            <v>1227.0927622141987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r.,Time Delivery,Cus.Return"/>
      <sheetName val="SA&amp;E,Period,OME,Recovery,Cm Hrs"/>
      <sheetName val="Total Cost &amp; Total CostperMT"/>
      <sheetName val="Productivity &amp; Hrs Worked"/>
      <sheetName val="Inventory Turn"/>
      <sheetName val="Prod,Sales"/>
      <sheetName val="CASTER, ROLLING"/>
      <sheetName val="spc-Caster"/>
      <sheetName val="spc-Cold Mill"/>
      <sheetName val="spc-FM 1"/>
      <sheetName val="spc-FM 2"/>
    </sheetNames>
    <sheetDataSet>
      <sheetData sheetId="0" refreshError="1">
        <row r="1">
          <cell r="A1" t="str">
            <v>ALUMINIUM COMPANY OF MALAYSIA BERHAD</v>
          </cell>
        </row>
        <row r="3">
          <cell r="A3" t="str">
            <v>CONTRIBUTION , ON TIME DELIVERY , CUSTOMER RETURNS</v>
          </cell>
        </row>
        <row r="5">
          <cell r="A5">
            <v>36831</v>
          </cell>
        </row>
        <row r="8">
          <cell r="F8" t="str">
            <v>Mth</v>
          </cell>
          <cell r="G8" t="str">
            <v>Real.</v>
          </cell>
          <cell r="H8" t="str">
            <v>Costs</v>
          </cell>
          <cell r="I8" t="str">
            <v>Margins</v>
          </cell>
          <cell r="J8" t="str">
            <v>%</v>
          </cell>
          <cell r="K8" t="str">
            <v>% of Export</v>
          </cell>
        </row>
        <row r="9">
          <cell r="F9" t="str">
            <v>Jul'98</v>
          </cell>
          <cell r="G9">
            <v>9213</v>
          </cell>
          <cell r="H9">
            <v>6780</v>
          </cell>
          <cell r="I9">
            <v>2433</v>
          </cell>
          <cell r="J9">
            <v>0.26400000000000001</v>
          </cell>
          <cell r="K9">
            <v>0.65200000000000002</v>
          </cell>
        </row>
        <row r="10">
          <cell r="F10" t="str">
            <v>Aug</v>
          </cell>
          <cell r="G10">
            <v>9275</v>
          </cell>
          <cell r="H10">
            <v>6752</v>
          </cell>
          <cell r="I10">
            <v>2520</v>
          </cell>
          <cell r="J10">
            <v>0.27200000000000002</v>
          </cell>
          <cell r="K10">
            <v>0.71299999999999997</v>
          </cell>
        </row>
        <row r="11">
          <cell r="F11" t="str">
            <v>Sep</v>
          </cell>
          <cell r="G11">
            <v>8825</v>
          </cell>
          <cell r="H11">
            <v>6726</v>
          </cell>
          <cell r="I11">
            <v>2099</v>
          </cell>
          <cell r="J11">
            <v>0.23799999999999999</v>
          </cell>
          <cell r="K11">
            <v>0.68700000000000006</v>
          </cell>
        </row>
        <row r="12">
          <cell r="F12" t="str">
            <v>Oct</v>
          </cell>
          <cell r="G12">
            <v>8831</v>
          </cell>
          <cell r="H12">
            <v>6640</v>
          </cell>
          <cell r="I12">
            <v>2191</v>
          </cell>
          <cell r="J12">
            <v>0.248</v>
          </cell>
          <cell r="K12">
            <v>0.73799999999999999</v>
          </cell>
        </row>
        <row r="13">
          <cell r="F13" t="str">
            <v>Nov</v>
          </cell>
          <cell r="G13">
            <v>8845</v>
          </cell>
          <cell r="H13">
            <v>6559</v>
          </cell>
          <cell r="I13">
            <v>2286</v>
          </cell>
          <cell r="J13">
            <v>0.25800000000000001</v>
          </cell>
          <cell r="K13">
            <v>0.68400000000000005</v>
          </cell>
        </row>
        <row r="14">
          <cell r="F14" t="str">
            <v>Dec</v>
          </cell>
          <cell r="G14">
            <v>8863</v>
          </cell>
          <cell r="H14">
            <v>6470</v>
          </cell>
          <cell r="I14">
            <v>2393</v>
          </cell>
          <cell r="J14">
            <v>0.27</v>
          </cell>
          <cell r="K14">
            <v>0.72099999999999997</v>
          </cell>
        </row>
        <row r="15">
          <cell r="F15" t="str">
            <v>Jan'99</v>
          </cell>
          <cell r="G15">
            <v>8646</v>
          </cell>
          <cell r="H15">
            <v>6547</v>
          </cell>
          <cell r="I15">
            <v>2099</v>
          </cell>
          <cell r="J15">
            <v>0.24277122368725423</v>
          </cell>
          <cell r="K15">
            <v>0.748</v>
          </cell>
        </row>
        <row r="16">
          <cell r="F16" t="str">
            <v>Feb</v>
          </cell>
          <cell r="G16">
            <v>8558</v>
          </cell>
          <cell r="H16">
            <v>6380</v>
          </cell>
          <cell r="I16">
            <v>2180</v>
          </cell>
          <cell r="J16">
            <v>0.25473241411544756</v>
          </cell>
          <cell r="K16">
            <v>0.69599999999999995</v>
          </cell>
        </row>
        <row r="17">
          <cell r="F17" t="str">
            <v>Mar</v>
          </cell>
          <cell r="G17">
            <v>8399</v>
          </cell>
          <cell r="H17">
            <v>6273</v>
          </cell>
          <cell r="I17">
            <v>2126</v>
          </cell>
          <cell r="J17">
            <v>0.25312537206810337</v>
          </cell>
          <cell r="K17">
            <v>0.7439544807965861</v>
          </cell>
        </row>
        <row r="18">
          <cell r="F18" t="str">
            <v>Apr</v>
          </cell>
          <cell r="G18">
            <v>8335</v>
          </cell>
          <cell r="H18">
            <v>6120</v>
          </cell>
          <cell r="I18">
            <v>2215</v>
          </cell>
          <cell r="J18">
            <v>0.26574685062987402</v>
          </cell>
          <cell r="K18">
            <v>0.71973555868646366</v>
          </cell>
        </row>
        <row r="19">
          <cell r="F19" t="str">
            <v>May</v>
          </cell>
          <cell r="G19">
            <v>8492</v>
          </cell>
          <cell r="H19">
            <v>6123</v>
          </cell>
          <cell r="I19">
            <v>2297</v>
          </cell>
          <cell r="J19">
            <v>0.27048987282147902</v>
          </cell>
          <cell r="K19">
            <v>0.62946483747373627</v>
          </cell>
        </row>
        <row r="20">
          <cell r="F20" t="str">
            <v>Jun</v>
          </cell>
          <cell r="G20">
            <v>8509</v>
          </cell>
          <cell r="H20">
            <v>6212</v>
          </cell>
          <cell r="I20">
            <v>2232</v>
          </cell>
          <cell r="J20">
            <v>0.26231049477024326</v>
          </cell>
          <cell r="K20">
            <v>0.59511743229251812</v>
          </cell>
        </row>
        <row r="21">
          <cell r="F21" t="str">
            <v>Jul'99</v>
          </cell>
          <cell r="G21">
            <v>8655</v>
          </cell>
          <cell r="H21">
            <v>6332</v>
          </cell>
          <cell r="I21">
            <v>2254</v>
          </cell>
          <cell r="J21">
            <v>0.26042749855574815</v>
          </cell>
          <cell r="K21">
            <v>0.64446974948014657</v>
          </cell>
        </row>
        <row r="22">
          <cell r="F22" t="str">
            <v>Aug</v>
          </cell>
          <cell r="G22">
            <v>8853</v>
          </cell>
          <cell r="H22">
            <v>6500</v>
          </cell>
          <cell r="I22">
            <v>2290</v>
          </cell>
          <cell r="J22">
            <v>0.2586693776121089</v>
          </cell>
          <cell r="K22">
            <v>0.59151264074782239</v>
          </cell>
        </row>
        <row r="23">
          <cell r="F23" t="str">
            <v>Sep</v>
          </cell>
          <cell r="G23">
            <v>9060</v>
          </cell>
          <cell r="H23">
            <v>6501</v>
          </cell>
          <cell r="I23">
            <v>2260</v>
          </cell>
          <cell r="J23">
            <v>0.24944812362030905</v>
          </cell>
          <cell r="K23">
            <v>0.53076028830504529</v>
          </cell>
        </row>
        <row r="24">
          <cell r="F24" t="str">
            <v>Oct</v>
          </cell>
          <cell r="G24">
            <v>9203</v>
          </cell>
          <cell r="H24">
            <v>6944</v>
          </cell>
          <cell r="I24">
            <v>2200</v>
          </cell>
          <cell r="J24">
            <v>0.23905248288601544</v>
          </cell>
          <cell r="K24">
            <v>0.5258091372671454</v>
          </cell>
        </row>
        <row r="25">
          <cell r="F25" t="str">
            <v>Nov</v>
          </cell>
          <cell r="G25">
            <v>9488</v>
          </cell>
          <cell r="H25">
            <v>7453</v>
          </cell>
          <cell r="I25">
            <v>1975</v>
          </cell>
          <cell r="J25">
            <v>0.20815767284991568</v>
          </cell>
          <cell r="K25">
            <v>0.57580034644254829</v>
          </cell>
        </row>
        <row r="26">
          <cell r="F26" t="str">
            <v>Dec'99</v>
          </cell>
          <cell r="G26">
            <v>9320</v>
          </cell>
          <cell r="H26">
            <v>7262</v>
          </cell>
          <cell r="I26">
            <v>2000</v>
          </cell>
          <cell r="J26">
            <v>0.21459227467811159</v>
          </cell>
          <cell r="K26">
            <v>0.71366607611949417</v>
          </cell>
        </row>
        <row r="27">
          <cell r="F27" t="str">
            <v>Jan2000</v>
          </cell>
          <cell r="G27">
            <v>9284</v>
          </cell>
          <cell r="H27">
            <v>7085</v>
          </cell>
          <cell r="I27">
            <v>2131</v>
          </cell>
          <cell r="J27">
            <v>0.22953468332615251</v>
          </cell>
          <cell r="K27">
            <v>0.74393610148587541</v>
          </cell>
        </row>
        <row r="28">
          <cell r="F28" t="str">
            <v>Feb</v>
          </cell>
          <cell r="G28">
            <v>9572</v>
          </cell>
          <cell r="H28">
            <v>7483</v>
          </cell>
          <cell r="I28">
            <v>2027</v>
          </cell>
          <cell r="J28">
            <v>0.21176347680735477</v>
          </cell>
          <cell r="K28">
            <v>0.74231938764810734</v>
          </cell>
        </row>
        <row r="29">
          <cell r="F29" t="str">
            <v>Mar</v>
          </cell>
          <cell r="G29">
            <v>9835</v>
          </cell>
          <cell r="H29">
            <v>7585</v>
          </cell>
          <cell r="I29">
            <v>2194</v>
          </cell>
          <cell r="J29">
            <v>0.22308083375699034</v>
          </cell>
          <cell r="K29">
            <v>0.73463943309712376</v>
          </cell>
        </row>
        <row r="30">
          <cell r="F30" t="str">
            <v>Apr</v>
          </cell>
          <cell r="G30">
            <v>9889</v>
          </cell>
          <cell r="H30">
            <v>7475</v>
          </cell>
          <cell r="I30">
            <v>2353</v>
          </cell>
          <cell r="J30">
            <v>0.23794114672868844</v>
          </cell>
          <cell r="K30">
            <v>0.7141771382245643</v>
          </cell>
        </row>
        <row r="31">
          <cell r="F31" t="str">
            <v>May</v>
          </cell>
          <cell r="G31">
            <v>9637</v>
          </cell>
          <cell r="H31">
            <v>7462</v>
          </cell>
          <cell r="I31">
            <v>2117</v>
          </cell>
          <cell r="J31">
            <v>0.21967417246030924</v>
          </cell>
          <cell r="K31">
            <v>0.76938291139240511</v>
          </cell>
        </row>
        <row r="32">
          <cell r="F32" t="str">
            <v>Jun</v>
          </cell>
          <cell r="G32">
            <v>9817</v>
          </cell>
          <cell r="H32">
            <v>7563</v>
          </cell>
          <cell r="I32">
            <v>2189</v>
          </cell>
          <cell r="J32">
            <v>0.22298054395436487</v>
          </cell>
          <cell r="K32">
            <v>0.68266728624535311</v>
          </cell>
        </row>
        <row r="33">
          <cell r="F33" t="str">
            <v>Jul</v>
          </cell>
          <cell r="G33">
            <v>9468</v>
          </cell>
          <cell r="H33">
            <v>7385</v>
          </cell>
          <cell r="I33">
            <v>2047</v>
          </cell>
          <cell r="J33">
            <v>0.21620194338825519</v>
          </cell>
          <cell r="K33">
            <v>0.66375370398272315</v>
          </cell>
        </row>
        <row r="34">
          <cell r="F34" t="str">
            <v>Aug</v>
          </cell>
          <cell r="G34">
            <v>9568</v>
          </cell>
          <cell r="H34">
            <v>7422</v>
          </cell>
          <cell r="I34">
            <v>2076</v>
          </cell>
          <cell r="J34">
            <v>0.21697324414715718</v>
          </cell>
          <cell r="K34">
            <v>0.59396200814111266</v>
          </cell>
        </row>
        <row r="35">
          <cell r="F35" t="str">
            <v>Sep</v>
          </cell>
          <cell r="G35">
            <v>9550</v>
          </cell>
          <cell r="H35">
            <v>7563</v>
          </cell>
          <cell r="I35">
            <v>1918</v>
          </cell>
          <cell r="J35">
            <v>0.20083769633507853</v>
          </cell>
          <cell r="K35">
            <v>0.67504426519771787</v>
          </cell>
        </row>
        <row r="36">
          <cell r="F36" t="str">
            <v>Oct</v>
          </cell>
          <cell r="G36">
            <v>9668</v>
          </cell>
          <cell r="H36">
            <v>7758</v>
          </cell>
          <cell r="I36">
            <v>1840</v>
          </cell>
          <cell r="J36">
            <v>0.19031857674803476</v>
          </cell>
          <cell r="K36">
            <v>0.61058649379817265</v>
          </cell>
        </row>
        <row r="37">
          <cell r="F37" t="str">
            <v>Nov</v>
          </cell>
          <cell r="G37">
            <v>9708</v>
          </cell>
          <cell r="H37">
            <v>7662</v>
          </cell>
          <cell r="I37">
            <v>1984</v>
          </cell>
          <cell r="J37">
            <v>0.20436753193242688</v>
          </cell>
          <cell r="K37">
            <v>0.63863924854023868</v>
          </cell>
        </row>
        <row r="38">
          <cell r="F38" t="str">
            <v>Dec</v>
          </cell>
        </row>
        <row r="41">
          <cell r="G41" t="str">
            <v>No of item</v>
          </cell>
          <cell r="I41" t="str">
            <v>Total item</v>
          </cell>
          <cell r="K41" t="str">
            <v>On Time</v>
          </cell>
        </row>
        <row r="42">
          <cell r="F42" t="str">
            <v>Mth</v>
          </cell>
          <cell r="G42" t="str">
            <v>Delivery</v>
          </cell>
          <cell r="I42" t="str">
            <v>Produced</v>
          </cell>
          <cell r="K42" t="str">
            <v>Delivery(%)</v>
          </cell>
        </row>
        <row r="43">
          <cell r="F43" t="str">
            <v>Jul'98</v>
          </cell>
          <cell r="G43">
            <v>288</v>
          </cell>
          <cell r="I43">
            <v>493</v>
          </cell>
          <cell r="K43">
            <v>58.42</v>
          </cell>
        </row>
        <row r="44">
          <cell r="F44" t="str">
            <v>Aug</v>
          </cell>
          <cell r="G44">
            <v>465</v>
          </cell>
          <cell r="I44">
            <v>679</v>
          </cell>
          <cell r="K44">
            <v>68.42</v>
          </cell>
        </row>
        <row r="45">
          <cell r="F45" t="str">
            <v>Sep</v>
          </cell>
          <cell r="G45">
            <v>313</v>
          </cell>
          <cell r="I45">
            <v>585</v>
          </cell>
          <cell r="K45">
            <v>53.5</v>
          </cell>
        </row>
        <row r="46">
          <cell r="F46" t="str">
            <v>Oct</v>
          </cell>
          <cell r="G46">
            <v>309</v>
          </cell>
          <cell r="I46">
            <v>628</v>
          </cell>
          <cell r="K46">
            <v>49.2</v>
          </cell>
        </row>
        <row r="47">
          <cell r="F47" t="str">
            <v>Nov</v>
          </cell>
          <cell r="G47">
            <v>328</v>
          </cell>
          <cell r="I47">
            <v>620</v>
          </cell>
          <cell r="K47">
            <v>52.9</v>
          </cell>
        </row>
        <row r="48">
          <cell r="F48" t="str">
            <v>Dec</v>
          </cell>
          <cell r="G48">
            <v>324</v>
          </cell>
          <cell r="I48">
            <v>604</v>
          </cell>
          <cell r="K48">
            <v>53.64</v>
          </cell>
        </row>
        <row r="49">
          <cell r="F49" t="str">
            <v>Jan'99</v>
          </cell>
          <cell r="G49">
            <v>288</v>
          </cell>
          <cell r="I49">
            <v>432</v>
          </cell>
          <cell r="K49">
            <v>0.66669999999999996</v>
          </cell>
        </row>
        <row r="50">
          <cell r="F50" t="str">
            <v>Feb</v>
          </cell>
          <cell r="G50">
            <v>320</v>
          </cell>
          <cell r="I50">
            <v>578</v>
          </cell>
          <cell r="K50">
            <v>0.55400000000000005</v>
          </cell>
        </row>
        <row r="51">
          <cell r="F51" t="str">
            <v>Mar</v>
          </cell>
          <cell r="G51">
            <v>315</v>
          </cell>
          <cell r="I51">
            <v>470</v>
          </cell>
          <cell r="K51">
            <v>0.67</v>
          </cell>
        </row>
        <row r="52">
          <cell r="F52" t="str">
            <v>Apr</v>
          </cell>
          <cell r="G52">
            <v>401</v>
          </cell>
          <cell r="I52">
            <v>691</v>
          </cell>
          <cell r="K52">
            <v>0.58031837916063678</v>
          </cell>
        </row>
        <row r="53">
          <cell r="F53" t="str">
            <v>May</v>
          </cell>
          <cell r="G53">
            <v>351</v>
          </cell>
          <cell r="I53">
            <v>613</v>
          </cell>
          <cell r="K53">
            <v>0.57259380097879287</v>
          </cell>
        </row>
        <row r="54">
          <cell r="F54" t="str">
            <v>Jun</v>
          </cell>
          <cell r="G54">
            <v>446</v>
          </cell>
          <cell r="I54">
            <v>786</v>
          </cell>
          <cell r="K54">
            <v>0.56743002544529264</v>
          </cell>
        </row>
        <row r="55">
          <cell r="F55" t="str">
            <v>Jul</v>
          </cell>
          <cell r="G55">
            <v>452</v>
          </cell>
          <cell r="I55">
            <v>847</v>
          </cell>
          <cell r="K55">
            <v>0.53364817001180642</v>
          </cell>
        </row>
        <row r="56">
          <cell r="F56" t="str">
            <v>Aug</v>
          </cell>
          <cell r="G56">
            <v>585</v>
          </cell>
          <cell r="I56">
            <v>848</v>
          </cell>
          <cell r="K56">
            <v>0.68985849056603776</v>
          </cell>
        </row>
        <row r="57">
          <cell r="F57" t="str">
            <v>Sep</v>
          </cell>
          <cell r="G57">
            <v>484</v>
          </cell>
          <cell r="I57">
            <v>841</v>
          </cell>
          <cell r="K57">
            <v>0.57550535077288945</v>
          </cell>
        </row>
        <row r="58">
          <cell r="F58" t="str">
            <v>Oct</v>
          </cell>
          <cell r="G58">
            <v>552</v>
          </cell>
          <cell r="I58">
            <v>726</v>
          </cell>
          <cell r="K58">
            <v>0.76033057851239672</v>
          </cell>
        </row>
        <row r="59">
          <cell r="F59" t="str">
            <v>Nov</v>
          </cell>
          <cell r="G59">
            <v>514</v>
          </cell>
          <cell r="I59">
            <v>685</v>
          </cell>
          <cell r="K59">
            <v>0.75036496350364967</v>
          </cell>
        </row>
        <row r="60">
          <cell r="F60" t="str">
            <v>Dec'99</v>
          </cell>
          <cell r="G60">
            <v>276</v>
          </cell>
          <cell r="I60">
            <v>523</v>
          </cell>
          <cell r="K60">
            <v>0.52772466539196938</v>
          </cell>
        </row>
        <row r="61">
          <cell r="F61" t="str">
            <v>Jan'2000</v>
          </cell>
          <cell r="G61">
            <v>236</v>
          </cell>
          <cell r="I61">
            <v>464</v>
          </cell>
          <cell r="K61">
            <v>0.50862068965517238</v>
          </cell>
        </row>
        <row r="62">
          <cell r="F62" t="str">
            <v>Feb</v>
          </cell>
          <cell r="G62">
            <v>371</v>
          </cell>
          <cell r="I62">
            <v>497</v>
          </cell>
          <cell r="K62">
            <v>0.74647887323943662</v>
          </cell>
        </row>
        <row r="63">
          <cell r="F63" t="str">
            <v>Mar</v>
          </cell>
          <cell r="G63">
            <v>472</v>
          </cell>
          <cell r="I63">
            <v>612</v>
          </cell>
          <cell r="K63">
            <v>0.77124183006535951</v>
          </cell>
        </row>
        <row r="64">
          <cell r="F64" t="str">
            <v>Apr</v>
          </cell>
          <cell r="G64">
            <v>515</v>
          </cell>
          <cell r="I64">
            <v>708</v>
          </cell>
          <cell r="K64">
            <v>0.72740112994350281</v>
          </cell>
        </row>
        <row r="65">
          <cell r="F65" t="str">
            <v>May</v>
          </cell>
          <cell r="G65">
            <v>410</v>
          </cell>
          <cell r="I65">
            <v>654</v>
          </cell>
          <cell r="K65">
            <v>0.62691131498470953</v>
          </cell>
        </row>
        <row r="66">
          <cell r="F66" t="str">
            <v>Jun</v>
          </cell>
          <cell r="G66">
            <v>295</v>
          </cell>
          <cell r="I66">
            <v>602</v>
          </cell>
          <cell r="K66">
            <v>0.49003322259136212</v>
          </cell>
        </row>
        <row r="67">
          <cell r="F67" t="str">
            <v>Jul</v>
          </cell>
          <cell r="G67">
            <v>432</v>
          </cell>
          <cell r="I67">
            <v>735</v>
          </cell>
          <cell r="K67">
            <v>0.58775510204081638</v>
          </cell>
        </row>
        <row r="68">
          <cell r="F68" t="str">
            <v>Aug</v>
          </cell>
          <cell r="G68">
            <v>467</v>
          </cell>
          <cell r="I68">
            <v>763</v>
          </cell>
          <cell r="K68">
            <v>0.61205766710353871</v>
          </cell>
        </row>
        <row r="69">
          <cell r="F69" t="str">
            <v>Sep</v>
          </cell>
          <cell r="G69">
            <v>467</v>
          </cell>
          <cell r="I69">
            <v>693</v>
          </cell>
          <cell r="K69">
            <v>0.67388167388167386</v>
          </cell>
        </row>
        <row r="70">
          <cell r="F70" t="str">
            <v>Oct</v>
          </cell>
          <cell r="G70">
            <v>525</v>
          </cell>
          <cell r="I70">
            <v>772</v>
          </cell>
          <cell r="K70">
            <v>0.68005181347150256</v>
          </cell>
        </row>
        <row r="71">
          <cell r="F71" t="str">
            <v>Nov</v>
          </cell>
          <cell r="G71">
            <v>386</v>
          </cell>
          <cell r="I71">
            <v>637</v>
          </cell>
          <cell r="K71">
            <v>0.60596546310832022</v>
          </cell>
        </row>
        <row r="72">
          <cell r="F72" t="str">
            <v>Dec</v>
          </cell>
        </row>
        <row r="76">
          <cell r="G76" t="str">
            <v>Customer</v>
          </cell>
          <cell r="I76" t="str">
            <v>Net</v>
          </cell>
          <cell r="K76" t="str">
            <v>Costomer</v>
          </cell>
        </row>
        <row r="77">
          <cell r="F77" t="str">
            <v>Mth</v>
          </cell>
          <cell r="G77" t="str">
            <v>Returns</v>
          </cell>
          <cell r="I77" t="str">
            <v>Shipment</v>
          </cell>
          <cell r="K77" t="str">
            <v>Return(%)</v>
          </cell>
        </row>
        <row r="78">
          <cell r="F78" t="str">
            <v>Jul'98</v>
          </cell>
          <cell r="G78">
            <v>44.716999999999999</v>
          </cell>
          <cell r="I78">
            <v>1578</v>
          </cell>
          <cell r="K78">
            <v>2.8337769328263623E-2</v>
          </cell>
        </row>
        <row r="79">
          <cell r="F79" t="str">
            <v>Aug</v>
          </cell>
          <cell r="G79">
            <v>16.599</v>
          </cell>
          <cell r="I79">
            <v>1726</v>
          </cell>
          <cell r="K79">
            <v>9.6170336037079956E-3</v>
          </cell>
        </row>
        <row r="80">
          <cell r="F80" t="str">
            <v>Sep</v>
          </cell>
          <cell r="G80">
            <v>1.81</v>
          </cell>
          <cell r="I80">
            <v>1865</v>
          </cell>
          <cell r="K80">
            <v>9.7050938337801612E-4</v>
          </cell>
        </row>
        <row r="81">
          <cell r="F81" t="str">
            <v>Oct</v>
          </cell>
          <cell r="G81">
            <v>60.703000000000003</v>
          </cell>
          <cell r="I81">
            <v>2079</v>
          </cell>
          <cell r="K81">
            <v>2.9198172198172199E-2</v>
          </cell>
        </row>
        <row r="82">
          <cell r="F82" t="str">
            <v>Nov</v>
          </cell>
          <cell r="G82">
            <v>27.190999999999999</v>
          </cell>
          <cell r="I82">
            <v>2045</v>
          </cell>
          <cell r="K82">
            <v>1.3296332518337407E-2</v>
          </cell>
        </row>
        <row r="83">
          <cell r="F83" t="str">
            <v>Dec</v>
          </cell>
          <cell r="G83">
            <v>22.24</v>
          </cell>
          <cell r="I83">
            <v>1986</v>
          </cell>
          <cell r="K83">
            <v>1.1198388721047331E-2</v>
          </cell>
        </row>
        <row r="84">
          <cell r="F84" t="str">
            <v>Jan'99</v>
          </cell>
          <cell r="G84">
            <v>3.55</v>
          </cell>
          <cell r="I84">
            <v>1612</v>
          </cell>
          <cell r="K84">
            <v>2.2022332506203474E-3</v>
          </cell>
        </row>
        <row r="85">
          <cell r="F85" t="str">
            <v>Feb</v>
          </cell>
          <cell r="G85">
            <v>11</v>
          </cell>
          <cell r="I85">
            <v>1627</v>
          </cell>
          <cell r="K85">
            <v>6.7609096496619543E-3</v>
          </cell>
        </row>
        <row r="86">
          <cell r="F86" t="str">
            <v>Mar</v>
          </cell>
          <cell r="G86">
            <v>12.39</v>
          </cell>
          <cell r="I86">
            <v>2260</v>
          </cell>
          <cell r="K86">
            <v>5.4823008849557526E-3</v>
          </cell>
        </row>
        <row r="87">
          <cell r="F87" t="str">
            <v>Apr</v>
          </cell>
          <cell r="G87">
            <v>22.658000000000001</v>
          </cell>
          <cell r="I87">
            <v>2214</v>
          </cell>
          <cell r="K87">
            <v>1.0233965672990064E-2</v>
          </cell>
        </row>
        <row r="88">
          <cell r="F88" t="str">
            <v>May</v>
          </cell>
          <cell r="G88">
            <v>13.057</v>
          </cell>
          <cell r="I88">
            <v>1905</v>
          </cell>
          <cell r="K88">
            <v>6.8540682414698169E-3</v>
          </cell>
        </row>
        <row r="89">
          <cell r="F89" t="str">
            <v>Jun</v>
          </cell>
          <cell r="G89">
            <v>40.020000000000003</v>
          </cell>
          <cell r="I89">
            <v>2157</v>
          </cell>
          <cell r="K89">
            <v>1.8553546592489572E-2</v>
          </cell>
        </row>
        <row r="90">
          <cell r="F90" t="str">
            <v>Jul</v>
          </cell>
          <cell r="G90">
            <v>15.144000000000005</v>
          </cell>
          <cell r="I90">
            <v>2334</v>
          </cell>
          <cell r="K90">
            <v>6.4884318766066859E-3</v>
          </cell>
        </row>
        <row r="91">
          <cell r="F91" t="str">
            <v>Aug</v>
          </cell>
          <cell r="G91">
            <v>18.190000000000001</v>
          </cell>
          <cell r="I91">
            <v>2127</v>
          </cell>
          <cell r="K91">
            <v>8.5519511048425013E-3</v>
          </cell>
        </row>
        <row r="92">
          <cell r="F92" t="str">
            <v>Sep</v>
          </cell>
          <cell r="G92">
            <v>10.59</v>
          </cell>
          <cell r="I92">
            <v>2375</v>
          </cell>
          <cell r="K92">
            <v>4.4589473684210528E-3</v>
          </cell>
        </row>
        <row r="93">
          <cell r="F93" t="str">
            <v>Oct</v>
          </cell>
          <cell r="G93">
            <v>8.92</v>
          </cell>
          <cell r="I93">
            <v>2088</v>
          </cell>
          <cell r="K93">
            <v>4.2720306513409963E-3</v>
          </cell>
        </row>
        <row r="94">
          <cell r="F94" t="str">
            <v>Nov</v>
          </cell>
          <cell r="G94">
            <v>10.234</v>
          </cell>
          <cell r="I94">
            <v>1643</v>
          </cell>
          <cell r="K94">
            <v>6.2288496652465001E-3</v>
          </cell>
        </row>
        <row r="95">
          <cell r="F95" t="str">
            <v>Dec'99</v>
          </cell>
          <cell r="G95">
            <v>99.62</v>
          </cell>
          <cell r="I95">
            <v>1756</v>
          </cell>
          <cell r="K95">
            <v>5.6731207289293852E-2</v>
          </cell>
        </row>
        <row r="96">
          <cell r="F96" t="str">
            <v>Jan'2000</v>
          </cell>
          <cell r="G96">
            <v>15.81</v>
          </cell>
          <cell r="I96">
            <v>1834</v>
          </cell>
          <cell r="K96">
            <v>8.6205016357688118E-3</v>
          </cell>
        </row>
        <row r="97">
          <cell r="F97" t="str">
            <v>Feb</v>
          </cell>
          <cell r="G97">
            <v>18.967999999999996</v>
          </cell>
          <cell r="I97">
            <v>1993</v>
          </cell>
          <cell r="K97">
            <v>9.5173105870546889E-3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lse key infor"/>
      <sheetName val="KLSE Income statements"/>
      <sheetName val="KLSE Balance Sheet"/>
      <sheetName val="KLSE-changes in equity"/>
      <sheetName val="KLSE cashflow"/>
      <sheetName val="shipment"/>
      <sheetName val="Disc ope Dec03"/>
      <sheetName val="TAX"/>
      <sheetName val="Tax reconDec 03"/>
      <sheetName val="EPS"/>
      <sheetName val="ESOS movement"/>
      <sheetName val="CashFlow workingsDec 03"/>
      <sheetName val="taxmovementDEC03"/>
      <sheetName val="Discontinued OpQ3"/>
      <sheetName val="AESB2002"/>
      <sheetName val="consoBSSep03"/>
      <sheetName val="conP&amp;LSep03"/>
      <sheetName val="otherRev&amp;income&amp;FinCostSep03"/>
      <sheetName val="alcom-DefAsset&amp;liab"/>
      <sheetName val="aesb-defAsset&amp;liab"/>
      <sheetName val="ansc-defAsset&amp;liab"/>
      <sheetName val="FA movement"/>
    </sheetNames>
    <sheetDataSet>
      <sheetData sheetId="0" refreshError="1"/>
      <sheetData sheetId="1" refreshError="1">
        <row r="23">
          <cell r="E23">
            <v>-4512</v>
          </cell>
        </row>
      </sheetData>
      <sheetData sheetId="2" refreshError="1">
        <row r="12">
          <cell r="C12">
            <v>144966</v>
          </cell>
        </row>
        <row r="15">
          <cell r="C15">
            <v>36779</v>
          </cell>
        </row>
        <row r="16">
          <cell r="C16">
            <v>35532</v>
          </cell>
        </row>
        <row r="19">
          <cell r="C19">
            <v>116645</v>
          </cell>
        </row>
        <row r="22">
          <cell r="C22">
            <v>33594</v>
          </cell>
        </row>
        <row r="25">
          <cell r="C25">
            <v>33726</v>
          </cell>
        </row>
        <row r="33">
          <cell r="C33">
            <v>20201</v>
          </cell>
        </row>
        <row r="34">
          <cell r="C34">
            <v>24314</v>
          </cell>
        </row>
        <row r="40">
          <cell r="C40">
            <v>56836</v>
          </cell>
        </row>
      </sheetData>
      <sheetData sheetId="3" refreshError="1"/>
      <sheetData sheetId="4" refreshError="1">
        <row r="15">
          <cell r="B15">
            <v>11692</v>
          </cell>
        </row>
        <row r="24">
          <cell r="B24">
            <v>3293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theme="7" tint="0.59999389629810485"/>
    <pageSetUpPr fitToPage="1"/>
  </sheetPr>
  <dimension ref="A1:F48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3" sqref="I13"/>
    </sheetView>
  </sheetViews>
  <sheetFormatPr defaultColWidth="6.7109375" defaultRowHeight="12.75"/>
  <cols>
    <col min="1" max="1" width="42.28515625" style="12" customWidth="1"/>
    <col min="2" max="2" width="6.85546875" style="12" customWidth="1"/>
    <col min="3" max="5" width="13.5703125" style="12" bestFit="1" customWidth="1"/>
    <col min="6" max="6" width="13.28515625" style="12" bestFit="1" customWidth="1"/>
    <col min="7" max="7" width="4" style="12" customWidth="1"/>
    <col min="8" max="16384" width="6.7109375" style="12"/>
  </cols>
  <sheetData>
    <row r="1" spans="1:6">
      <c r="A1" s="8" t="s">
        <v>3</v>
      </c>
      <c r="B1" s="8"/>
    </row>
    <row r="2" spans="1:6">
      <c r="A2" s="12" t="s">
        <v>315</v>
      </c>
    </row>
    <row r="4" spans="1:6" ht="13.5" thickBot="1"/>
    <row r="5" spans="1:6" ht="27" customHeight="1" thickBot="1">
      <c r="C5" s="181" t="s">
        <v>243</v>
      </c>
      <c r="D5" s="181" t="s">
        <v>243</v>
      </c>
      <c r="E5" s="181" t="s">
        <v>279</v>
      </c>
      <c r="F5" s="181" t="s">
        <v>279</v>
      </c>
    </row>
    <row r="6" spans="1:6">
      <c r="C6" s="47">
        <v>2010</v>
      </c>
      <c r="D6" s="48">
        <v>2009</v>
      </c>
      <c r="E6" s="49">
        <v>2010</v>
      </c>
      <c r="F6" s="50">
        <v>2009</v>
      </c>
    </row>
    <row r="7" spans="1:6" ht="13.5" thickBot="1">
      <c r="B7" s="12" t="s">
        <v>13</v>
      </c>
      <c r="C7" s="52" t="s">
        <v>5</v>
      </c>
      <c r="D7" s="53" t="s">
        <v>5</v>
      </c>
      <c r="E7" s="54" t="s">
        <v>5</v>
      </c>
      <c r="F7" s="55" t="s">
        <v>5</v>
      </c>
    </row>
    <row r="8" spans="1:6">
      <c r="C8" s="59"/>
      <c r="D8" s="166"/>
      <c r="E8" s="166"/>
      <c r="F8" s="58"/>
    </row>
    <row r="9" spans="1:6">
      <c r="C9" s="59"/>
      <c r="D9" s="59"/>
      <c r="E9" s="61"/>
      <c r="F9" s="59"/>
    </row>
    <row r="10" spans="1:6">
      <c r="A10" s="12" t="s">
        <v>6</v>
      </c>
      <c r="C10" s="59">
        <v>69956</v>
      </c>
      <c r="D10" s="59">
        <v>66392</v>
      </c>
      <c r="E10" s="61">
        <v>214964</v>
      </c>
      <c r="F10" s="59">
        <v>179149</v>
      </c>
    </row>
    <row r="11" spans="1:6">
      <c r="C11" s="59"/>
      <c r="D11" s="59"/>
      <c r="E11" s="61"/>
      <c r="F11" s="59"/>
    </row>
    <row r="12" spans="1:6">
      <c r="A12" s="20" t="s">
        <v>15</v>
      </c>
      <c r="B12" s="24"/>
      <c r="C12" s="59">
        <v>-69615</v>
      </c>
      <c r="D12" s="59">
        <v>-64760</v>
      </c>
      <c r="E12" s="61">
        <v>-212024</v>
      </c>
      <c r="F12" s="59">
        <v>-175201</v>
      </c>
    </row>
    <row r="13" spans="1:6">
      <c r="A13" s="20" t="s">
        <v>16</v>
      </c>
      <c r="B13" s="20"/>
      <c r="C13" s="59">
        <v>0</v>
      </c>
      <c r="D13" s="59">
        <v>0</v>
      </c>
      <c r="E13" s="61">
        <v>0</v>
      </c>
      <c r="F13" s="59">
        <v>0</v>
      </c>
    </row>
    <row r="14" spans="1:6">
      <c r="A14" s="20" t="s">
        <v>17</v>
      </c>
      <c r="B14" s="61"/>
      <c r="C14" s="63">
        <v>248</v>
      </c>
      <c r="D14" s="63">
        <v>290</v>
      </c>
      <c r="E14" s="64">
        <v>782</v>
      </c>
      <c r="F14" s="63">
        <v>926</v>
      </c>
    </row>
    <row r="15" spans="1:6">
      <c r="A15" s="20"/>
      <c r="B15" s="20"/>
      <c r="C15" s="61"/>
      <c r="D15" s="59"/>
      <c r="E15" s="61"/>
      <c r="F15" s="61"/>
    </row>
    <row r="16" spans="1:6">
      <c r="A16" s="20" t="s">
        <v>18</v>
      </c>
      <c r="B16" s="20"/>
      <c r="C16" s="61">
        <v>589</v>
      </c>
      <c r="D16" s="61">
        <v>1922</v>
      </c>
      <c r="E16" s="61">
        <v>3722</v>
      </c>
      <c r="F16" s="61">
        <v>4874</v>
      </c>
    </row>
    <row r="17" spans="1:6">
      <c r="C17" s="59"/>
      <c r="D17" s="59"/>
      <c r="E17" s="59"/>
      <c r="F17" s="59"/>
    </row>
    <row r="18" spans="1:6">
      <c r="A18" s="12" t="s">
        <v>19</v>
      </c>
      <c r="C18" s="59">
        <v>-90</v>
      </c>
      <c r="D18" s="59">
        <v>-90</v>
      </c>
      <c r="E18" s="60">
        <v>-279</v>
      </c>
      <c r="F18" s="59">
        <v>-289</v>
      </c>
    </row>
    <row r="19" spans="1:6">
      <c r="C19" s="59"/>
      <c r="D19" s="59"/>
      <c r="E19" s="59"/>
      <c r="F19" s="59"/>
    </row>
    <row r="20" spans="1:6">
      <c r="C20" s="59"/>
      <c r="D20" s="59"/>
      <c r="E20" s="59"/>
      <c r="F20" s="59"/>
    </row>
    <row r="21" spans="1:6">
      <c r="C21" s="63"/>
      <c r="D21" s="63"/>
      <c r="E21" s="63"/>
      <c r="F21" s="63"/>
    </row>
    <row r="22" spans="1:6">
      <c r="C22" s="59"/>
      <c r="D22" s="59"/>
      <c r="E22" s="59"/>
      <c r="F22" s="59"/>
    </row>
    <row r="23" spans="1:6">
      <c r="A23" s="12" t="s">
        <v>20</v>
      </c>
      <c r="C23" s="59">
        <v>499</v>
      </c>
      <c r="D23" s="59">
        <v>1832</v>
      </c>
      <c r="E23" s="59">
        <v>3443</v>
      </c>
      <c r="F23" s="59">
        <v>4585</v>
      </c>
    </row>
    <row r="24" spans="1:6">
      <c r="C24" s="59"/>
      <c r="D24" s="59"/>
      <c r="E24" s="59"/>
      <c r="F24" s="59"/>
    </row>
    <row r="25" spans="1:6">
      <c r="A25" s="12" t="s">
        <v>21</v>
      </c>
      <c r="B25" s="51">
        <v>10</v>
      </c>
      <c r="C25" s="59">
        <v>-54</v>
      </c>
      <c r="D25" s="59">
        <v>607</v>
      </c>
      <c r="E25" s="61">
        <v>-729</v>
      </c>
      <c r="F25" s="59">
        <v>-325</v>
      </c>
    </row>
    <row r="26" spans="1:6">
      <c r="C26" s="63"/>
      <c r="D26" s="63"/>
      <c r="E26" s="63"/>
      <c r="F26" s="63"/>
    </row>
    <row r="27" spans="1:6">
      <c r="C27" s="59"/>
      <c r="D27" s="59"/>
      <c r="E27" s="59"/>
      <c r="F27" s="59"/>
    </row>
    <row r="28" spans="1:6">
      <c r="A28" s="12" t="s">
        <v>24</v>
      </c>
      <c r="C28" s="59">
        <v>445</v>
      </c>
      <c r="D28" s="59">
        <v>2439</v>
      </c>
      <c r="E28" s="59">
        <v>2714</v>
      </c>
      <c r="F28" s="59">
        <v>4260</v>
      </c>
    </row>
    <row r="29" spans="1:6" ht="13.5" thickBot="1">
      <c r="C29" s="65"/>
      <c r="D29" s="65"/>
      <c r="E29" s="65"/>
      <c r="F29" s="65"/>
    </row>
    <row r="30" spans="1:6">
      <c r="C30" s="59"/>
      <c r="D30" s="59"/>
      <c r="E30" s="59"/>
      <c r="F30" s="59"/>
    </row>
    <row r="31" spans="1:6">
      <c r="A31" s="12" t="s">
        <v>235</v>
      </c>
      <c r="C31" s="59"/>
      <c r="D31" s="59"/>
      <c r="E31" s="59"/>
      <c r="F31" s="59"/>
    </row>
    <row r="32" spans="1:6">
      <c r="A32" s="12" t="s">
        <v>216</v>
      </c>
      <c r="C32" s="59">
        <v>445</v>
      </c>
      <c r="D32" s="59">
        <v>2439</v>
      </c>
      <c r="E32" s="59">
        <v>2714</v>
      </c>
      <c r="F32" s="59">
        <v>4260</v>
      </c>
    </row>
    <row r="33" spans="1:6">
      <c r="A33" s="12" t="s">
        <v>217</v>
      </c>
      <c r="C33" s="59">
        <v>0</v>
      </c>
      <c r="D33" s="59">
        <v>0</v>
      </c>
      <c r="E33" s="61">
        <v>0</v>
      </c>
      <c r="F33" s="59">
        <v>0</v>
      </c>
    </row>
    <row r="34" spans="1:6">
      <c r="C34" s="63"/>
      <c r="D34" s="63"/>
      <c r="E34" s="63"/>
      <c r="F34" s="63"/>
    </row>
    <row r="35" spans="1:6">
      <c r="C35" s="59"/>
      <c r="D35" s="59"/>
      <c r="E35" s="59"/>
      <c r="F35" s="59"/>
    </row>
    <row r="36" spans="1:6">
      <c r="C36" s="59">
        <v>445</v>
      </c>
      <c r="D36" s="59">
        <v>2439</v>
      </c>
      <c r="E36" s="59">
        <v>2714</v>
      </c>
      <c r="F36" s="59">
        <v>4260</v>
      </c>
    </row>
    <row r="37" spans="1:6" ht="13.5" thickBot="1">
      <c r="C37" s="65"/>
      <c r="D37" s="65"/>
      <c r="E37" s="65"/>
      <c r="F37" s="65"/>
    </row>
    <row r="38" spans="1:6">
      <c r="C38" s="59"/>
      <c r="D38" s="59"/>
      <c r="E38" s="59"/>
      <c r="F38" s="59"/>
    </row>
    <row r="39" spans="1:6">
      <c r="A39" s="12" t="s">
        <v>25</v>
      </c>
      <c r="B39" s="51">
        <v>11</v>
      </c>
      <c r="C39" s="179">
        <v>0.33647884342013734</v>
      </c>
      <c r="D39" s="179">
        <v>1.8442065148353142</v>
      </c>
      <c r="E39" s="179">
        <v>2.0521428787466354</v>
      </c>
      <c r="F39" s="66">
        <v>3.2211233100444603</v>
      </c>
    </row>
    <row r="40" spans="1:6">
      <c r="C40" s="179"/>
      <c r="D40" s="179"/>
      <c r="E40" s="61"/>
      <c r="F40" s="59"/>
    </row>
    <row r="41" spans="1:6">
      <c r="A41" s="12" t="s">
        <v>26</v>
      </c>
      <c r="B41" s="51">
        <v>11</v>
      </c>
      <c r="C41" s="188" t="s">
        <v>275</v>
      </c>
      <c r="D41" s="188" t="s">
        <v>275</v>
      </c>
      <c r="E41" s="188" t="s">
        <v>275</v>
      </c>
      <c r="F41" s="187" t="s">
        <v>275</v>
      </c>
    </row>
    <row r="42" spans="1:6">
      <c r="D42" s="66"/>
    </row>
    <row r="44" spans="1:6">
      <c r="A44" s="12" t="s">
        <v>27</v>
      </c>
    </row>
    <row r="45" spans="1:6">
      <c r="A45" s="12" t="s">
        <v>304</v>
      </c>
    </row>
    <row r="48" spans="1:6">
      <c r="E48" s="25"/>
    </row>
  </sheetData>
  <phoneticPr fontId="0" type="noConversion"/>
  <pageMargins left="1.04" right="0.41" top="0.55000000000000004" bottom="0.59" header="0.23" footer="0.27"/>
  <pageSetup paperSize="9" scale="83" orientation="landscape" blackAndWhite="1" horizontalDpi="4294967292" verticalDpi="300" r:id="rId1"/>
  <headerFooter alignWithMargins="0">
    <oddFooter>&amp;L&amp;D&amp;F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 enableFormatConditionsCalculation="0">
    <tabColor rgb="FF7030A0"/>
    <pageSetUpPr fitToPage="1"/>
  </sheetPr>
  <dimension ref="B4:L32"/>
  <sheetViews>
    <sheetView workbookViewId="0">
      <selection activeCell="J1" sqref="J1"/>
    </sheetView>
  </sheetViews>
  <sheetFormatPr defaultRowHeight="12.75"/>
  <cols>
    <col min="1" max="1" width="2.5703125" customWidth="1"/>
    <col min="2" max="2" width="5.140625" customWidth="1"/>
    <col min="3" max="3" width="22.140625" customWidth="1"/>
    <col min="4" max="4" width="18" customWidth="1"/>
    <col min="5" max="5" width="14" style="182" bestFit="1" customWidth="1"/>
    <col min="6" max="6" width="1.7109375" customWidth="1"/>
    <col min="7" max="7" width="5.42578125" customWidth="1"/>
    <col min="8" max="8" width="24" bestFit="1" customWidth="1"/>
    <col min="9" max="9" width="17.5703125" customWidth="1"/>
    <col min="10" max="10" width="14.5703125" bestFit="1" customWidth="1"/>
    <col min="11" max="11" width="2" customWidth="1"/>
    <col min="12" max="12" width="11.28515625" style="182" bestFit="1" customWidth="1"/>
  </cols>
  <sheetData>
    <row r="4" spans="2:12" ht="20.25">
      <c r="C4" s="193" t="s">
        <v>302</v>
      </c>
      <c r="D4" s="192"/>
      <c r="E4" s="192"/>
      <c r="F4" s="192"/>
      <c r="G4" s="192"/>
      <c r="H4" s="192"/>
      <c r="I4" s="192"/>
      <c r="J4" s="192"/>
    </row>
    <row r="6" spans="2:12">
      <c r="C6" s="19" t="s">
        <v>0</v>
      </c>
      <c r="H6" s="19" t="s">
        <v>2</v>
      </c>
      <c r="J6" s="182"/>
    </row>
    <row r="7" spans="2:12" s="19" customFormat="1">
      <c r="B7" s="183" t="s">
        <v>254</v>
      </c>
      <c r="C7" s="19" t="s">
        <v>255</v>
      </c>
      <c r="D7" s="19" t="s">
        <v>256</v>
      </c>
      <c r="E7" s="184" t="s">
        <v>257</v>
      </c>
      <c r="G7" s="183" t="s">
        <v>254</v>
      </c>
      <c r="H7" s="19" t="s">
        <v>255</v>
      </c>
      <c r="I7" s="19" t="s">
        <v>256</v>
      </c>
      <c r="J7" s="184" t="s">
        <v>257</v>
      </c>
      <c r="L7" s="184" t="s">
        <v>143</v>
      </c>
    </row>
    <row r="9" spans="2:12" ht="12" customHeight="1">
      <c r="B9" t="s">
        <v>258</v>
      </c>
      <c r="C9" s="30" t="s">
        <v>259</v>
      </c>
      <c r="D9" t="s">
        <v>260</v>
      </c>
      <c r="E9" s="182">
        <v>16444014.98</v>
      </c>
      <c r="G9" t="s">
        <v>261</v>
      </c>
      <c r="H9" t="s">
        <v>262</v>
      </c>
      <c r="I9" t="s">
        <v>291</v>
      </c>
      <c r="J9" s="182">
        <v>-16444014.98</v>
      </c>
      <c r="L9" s="182">
        <f>+J9+E9</f>
        <v>0</v>
      </c>
    </row>
    <row r="10" spans="2:12">
      <c r="B10" t="s">
        <v>258</v>
      </c>
      <c r="C10" s="30" t="s">
        <v>263</v>
      </c>
      <c r="D10" s="30" t="s">
        <v>264</v>
      </c>
      <c r="E10" s="182">
        <v>261276.9</v>
      </c>
      <c r="G10" t="s">
        <v>261</v>
      </c>
      <c r="H10" t="s">
        <v>265</v>
      </c>
      <c r="I10" s="30" t="s">
        <v>276</v>
      </c>
      <c r="J10" s="182">
        <v>-261276.9</v>
      </c>
      <c r="L10" s="182">
        <f>+J10+E10</f>
        <v>0</v>
      </c>
    </row>
    <row r="11" spans="2:12">
      <c r="J11" s="182"/>
    </row>
    <row r="12" spans="2:12" ht="13.5" thickBot="1">
      <c r="E12" s="185">
        <f>SUM(E9:E11)</f>
        <v>16705291.880000001</v>
      </c>
      <c r="J12" s="185">
        <f>SUM(J9:J11)</f>
        <v>-16705291.880000001</v>
      </c>
      <c r="L12" s="182">
        <f>+J12+E12</f>
        <v>0</v>
      </c>
    </row>
    <row r="13" spans="2:12" ht="13.5" thickTop="1">
      <c r="J13" s="182"/>
    </row>
    <row r="14" spans="2:12">
      <c r="J14" s="182"/>
    </row>
    <row r="15" spans="2:12" ht="18">
      <c r="C15" s="193" t="s">
        <v>303</v>
      </c>
      <c r="D15" s="193"/>
      <c r="E15" s="193"/>
      <c r="F15" s="193"/>
      <c r="G15" s="193"/>
      <c r="H15" s="193"/>
      <c r="I15" s="193"/>
      <c r="J15" s="193"/>
    </row>
    <row r="17" spans="2:12" s="19" customFormat="1">
      <c r="C17" s="19" t="s">
        <v>0</v>
      </c>
      <c r="D17"/>
      <c r="E17" s="182"/>
      <c r="F17"/>
      <c r="G17"/>
      <c r="H17" s="19" t="s">
        <v>2</v>
      </c>
      <c r="I17"/>
      <c r="J17" s="182"/>
      <c r="L17" s="182"/>
    </row>
    <row r="18" spans="2:12">
      <c r="B18" s="19" t="str">
        <f>+B7</f>
        <v>Type</v>
      </c>
      <c r="C18" s="19" t="str">
        <f t="shared" ref="C18:L18" si="0">+C7</f>
        <v>GL DESCRIPTION</v>
      </c>
      <c r="D18" s="19" t="str">
        <f t="shared" si="0"/>
        <v>GL CODE</v>
      </c>
      <c r="E18" s="19" t="str">
        <f t="shared" si="0"/>
        <v>BALANCE</v>
      </c>
      <c r="F18" s="19"/>
      <c r="G18" s="19" t="str">
        <f t="shared" si="0"/>
        <v>Type</v>
      </c>
      <c r="H18" s="19" t="str">
        <f t="shared" si="0"/>
        <v>GL DESCRIPTION</v>
      </c>
      <c r="I18" s="19" t="str">
        <f t="shared" si="0"/>
        <v>GL CODE</v>
      </c>
      <c r="J18" s="19" t="str">
        <f t="shared" si="0"/>
        <v>BALANCE</v>
      </c>
      <c r="K18" s="19"/>
      <c r="L18" s="19" t="str">
        <f t="shared" si="0"/>
        <v>Diff</v>
      </c>
    </row>
    <row r="19" spans="2:12">
      <c r="C19" s="19"/>
      <c r="D19" s="19"/>
      <c r="E19" s="184"/>
      <c r="F19" s="19"/>
      <c r="G19" s="19"/>
      <c r="H19" s="19"/>
      <c r="I19" s="19"/>
      <c r="J19" s="184"/>
    </row>
    <row r="20" spans="2:12" ht="13.5" thickBot="1">
      <c r="B20" t="s">
        <v>261</v>
      </c>
      <c r="C20" t="s">
        <v>266</v>
      </c>
      <c r="D20" s="30" t="s">
        <v>267</v>
      </c>
      <c r="E20" s="186">
        <v>-1044942.33</v>
      </c>
      <c r="G20" t="s">
        <v>258</v>
      </c>
      <c r="H20" t="s">
        <v>268</v>
      </c>
      <c r="I20" s="30" t="s">
        <v>269</v>
      </c>
      <c r="J20" s="186">
        <v>1044942.33</v>
      </c>
    </row>
    <row r="21" spans="2:12" ht="13.5" thickTop="1">
      <c r="H21" s="30"/>
      <c r="I21" s="30"/>
      <c r="J21" s="182"/>
    </row>
    <row r="26" spans="2:12">
      <c r="C26" t="s">
        <v>270</v>
      </c>
    </row>
    <row r="29" spans="2:12">
      <c r="C29" s="30" t="s">
        <v>271</v>
      </c>
    </row>
    <row r="32" spans="2:12">
      <c r="C32" s="30" t="s">
        <v>272</v>
      </c>
    </row>
  </sheetData>
  <mergeCells count="2">
    <mergeCell ref="C4:J4"/>
    <mergeCell ref="C15:J15"/>
  </mergeCells>
  <phoneticPr fontId="0" type="noConversion"/>
  <conditionalFormatting sqref="L20 L9:L12">
    <cfRule type="cellIs" dxfId="2" priority="3" stopIfTrue="1" operator="notEqual">
      <formula>0</formula>
    </cfRule>
  </conditionalFormatting>
  <conditionalFormatting sqref="L20 L9:L12">
    <cfRule type="cellIs" dxfId="1" priority="2" stopIfTrue="1" operator="notEqual">
      <formula>0</formula>
    </cfRule>
  </conditionalFormatting>
  <conditionalFormatting sqref="L20 L9:L12">
    <cfRule type="cellIs" dxfId="0" priority="1" stopIfTrue="1" operator="notEqual">
      <formula>0</formula>
    </cfRule>
  </conditionalFormatting>
  <pageMargins left="0.2" right="0.15" top="0.4" bottom="0.4" header="0.19" footer="0.28000000000000003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7" tint="0.59999389629810485"/>
    <pageSetUpPr fitToPage="1"/>
  </sheetPr>
  <dimension ref="A1:E51"/>
  <sheetViews>
    <sheetView workbookViewId="0"/>
  </sheetViews>
  <sheetFormatPr defaultRowHeight="12.75"/>
  <cols>
    <col min="1" max="1" width="29" customWidth="1"/>
    <col min="2" max="2" width="5.42578125" customWidth="1"/>
    <col min="3" max="3" width="21.28515625" customWidth="1"/>
    <col min="4" max="4" width="23.28515625" bestFit="1" customWidth="1"/>
  </cols>
  <sheetData>
    <row r="1" spans="1:5">
      <c r="A1" s="8" t="s">
        <v>3</v>
      </c>
      <c r="B1" s="8"/>
      <c r="C1" s="12"/>
      <c r="D1" s="12"/>
    </row>
    <row r="2" spans="1:5">
      <c r="A2" s="67" t="s">
        <v>312</v>
      </c>
      <c r="B2" s="67"/>
      <c r="C2" s="12"/>
      <c r="D2" s="12"/>
    </row>
    <row r="3" spans="1:5">
      <c r="A3" s="68" t="s">
        <v>311</v>
      </c>
      <c r="B3" s="68"/>
      <c r="C3" s="12"/>
      <c r="D3" s="12"/>
    </row>
    <row r="4" spans="1:5">
      <c r="A4" s="68"/>
      <c r="B4" s="68"/>
      <c r="C4" s="12"/>
      <c r="D4" s="12"/>
    </row>
    <row r="5" spans="1:5">
      <c r="A5" s="68"/>
      <c r="B5" s="68"/>
      <c r="C5" s="51" t="s">
        <v>29</v>
      </c>
      <c r="D5" s="51" t="s">
        <v>29</v>
      </c>
    </row>
    <row r="6" spans="1:5">
      <c r="A6" s="68"/>
      <c r="B6" s="68"/>
      <c r="C6" s="51" t="s">
        <v>30</v>
      </c>
      <c r="D6" s="51" t="s">
        <v>31</v>
      </c>
    </row>
    <row r="7" spans="1:5">
      <c r="A7" s="68"/>
      <c r="B7" s="68"/>
      <c r="C7" s="51" t="s">
        <v>4</v>
      </c>
      <c r="D7" s="51" t="s">
        <v>32</v>
      </c>
    </row>
    <row r="8" spans="1:5">
      <c r="A8" s="12"/>
      <c r="B8" s="12"/>
      <c r="C8" s="69">
        <v>40543</v>
      </c>
      <c r="D8" s="69">
        <v>40268</v>
      </c>
    </row>
    <row r="9" spans="1:5">
      <c r="A9" s="12"/>
      <c r="B9" s="12" t="s">
        <v>13</v>
      </c>
      <c r="C9" s="70" t="s">
        <v>5</v>
      </c>
      <c r="D9" s="70" t="s">
        <v>5</v>
      </c>
    </row>
    <row r="10" spans="1:5">
      <c r="C10" s="14"/>
    </row>
    <row r="11" spans="1:5">
      <c r="A11" s="12" t="s">
        <v>33</v>
      </c>
      <c r="B11" s="12"/>
      <c r="C11" s="26"/>
    </row>
    <row r="12" spans="1:5">
      <c r="A12" t="s">
        <v>34</v>
      </c>
      <c r="B12" s="51">
        <v>13</v>
      </c>
      <c r="C12" s="35">
        <v>71464</v>
      </c>
      <c r="D12" s="72">
        <v>71661</v>
      </c>
      <c r="E12" s="27"/>
    </row>
    <row r="13" spans="1:5">
      <c r="A13" t="s">
        <v>219</v>
      </c>
      <c r="B13" s="51"/>
      <c r="C13" s="25">
        <v>14674</v>
      </c>
      <c r="D13" s="18">
        <v>14816</v>
      </c>
      <c r="E13" s="27"/>
    </row>
    <row r="14" spans="1:5">
      <c r="A14" t="s">
        <v>220</v>
      </c>
      <c r="B14" s="51"/>
      <c r="C14" s="18">
        <v>3343</v>
      </c>
      <c r="D14" s="18">
        <v>3472</v>
      </c>
      <c r="E14" s="27"/>
    </row>
    <row r="15" spans="1:5" hidden="1">
      <c r="A15" s="14" t="s">
        <v>215</v>
      </c>
      <c r="C15" s="72">
        <v>0</v>
      </c>
      <c r="D15" s="72">
        <v>0</v>
      </c>
      <c r="E15" s="27"/>
    </row>
    <row r="16" spans="1:5">
      <c r="B16" s="51"/>
      <c r="C16" s="18"/>
      <c r="D16" s="18"/>
      <c r="E16" s="27"/>
    </row>
    <row r="17" spans="1:4">
      <c r="A17" s="12" t="s">
        <v>35</v>
      </c>
      <c r="B17" s="12"/>
      <c r="C17" s="18"/>
      <c r="D17" s="18"/>
    </row>
    <row r="18" spans="1:4">
      <c r="A18" t="s">
        <v>1</v>
      </c>
      <c r="C18" s="25">
        <v>56408</v>
      </c>
      <c r="D18" s="25">
        <v>52704</v>
      </c>
    </row>
    <row r="19" spans="1:4">
      <c r="A19" t="s">
        <v>36</v>
      </c>
      <c r="C19" s="25">
        <v>35567</v>
      </c>
      <c r="D19" s="25">
        <v>40935</v>
      </c>
    </row>
    <row r="20" spans="1:4">
      <c r="A20" t="s">
        <v>37</v>
      </c>
      <c r="C20" s="72">
        <v>39655</v>
      </c>
      <c r="D20" s="72">
        <v>42568</v>
      </c>
    </row>
    <row r="21" spans="1:4">
      <c r="A21" t="s">
        <v>290</v>
      </c>
      <c r="C21" s="28">
        <v>511</v>
      </c>
      <c r="D21" s="28">
        <v>3442</v>
      </c>
    </row>
    <row r="22" spans="1:4">
      <c r="C22" s="71">
        <v>132141</v>
      </c>
      <c r="D22" s="71">
        <v>139649</v>
      </c>
    </row>
    <row r="23" spans="1:4">
      <c r="C23" s="18"/>
      <c r="D23" s="18"/>
    </row>
    <row r="24" spans="1:4">
      <c r="A24" s="12" t="s">
        <v>38</v>
      </c>
      <c r="B24" s="12"/>
      <c r="C24" s="18"/>
      <c r="D24" s="18"/>
    </row>
    <row r="25" spans="1:4">
      <c r="A25" t="s">
        <v>39</v>
      </c>
      <c r="C25" s="25">
        <v>14533</v>
      </c>
      <c r="D25" s="25">
        <v>17731</v>
      </c>
    </row>
    <row r="26" spans="1:4">
      <c r="A26" t="s">
        <v>222</v>
      </c>
      <c r="C26" s="25">
        <v>0</v>
      </c>
      <c r="D26" s="25">
        <v>0</v>
      </c>
    </row>
    <row r="27" spans="1:4">
      <c r="A27" t="s">
        <v>292</v>
      </c>
      <c r="C27" s="18">
        <v>0</v>
      </c>
      <c r="D27" s="18">
        <v>0</v>
      </c>
    </row>
    <row r="28" spans="1:4">
      <c r="C28" s="71">
        <v>14533</v>
      </c>
      <c r="D28" s="71">
        <v>17731</v>
      </c>
    </row>
    <row r="29" spans="1:4">
      <c r="C29" s="18"/>
      <c r="D29" s="18"/>
    </row>
    <row r="30" spans="1:4">
      <c r="A30" s="12" t="s">
        <v>41</v>
      </c>
      <c r="B30" s="12"/>
      <c r="C30" s="28">
        <v>117608</v>
      </c>
      <c r="D30" s="28">
        <v>121918</v>
      </c>
    </row>
    <row r="31" spans="1:4">
      <c r="C31" s="18"/>
      <c r="D31" s="18"/>
    </row>
    <row r="32" spans="1:4">
      <c r="C32" s="18"/>
      <c r="D32" s="18"/>
    </row>
    <row r="33" spans="1:4">
      <c r="A33" s="12" t="s">
        <v>42</v>
      </c>
      <c r="B33" s="12"/>
      <c r="C33" s="18"/>
      <c r="D33" s="18"/>
    </row>
    <row r="34" spans="1:4">
      <c r="A34" t="s">
        <v>43</v>
      </c>
      <c r="C34" s="18">
        <v>5696</v>
      </c>
      <c r="D34" s="18">
        <v>5132</v>
      </c>
    </row>
    <row r="35" spans="1:4" ht="12.75" hidden="1" customHeight="1">
      <c r="A35" s="21"/>
      <c r="C35" s="14"/>
      <c r="D35" s="14"/>
    </row>
    <row r="36" spans="1:4">
      <c r="A36" t="s">
        <v>221</v>
      </c>
      <c r="C36" s="18">
        <v>12530</v>
      </c>
      <c r="D36" s="18">
        <v>13147</v>
      </c>
    </row>
    <row r="37" spans="1:4">
      <c r="C37" s="71">
        <v>18226</v>
      </c>
      <c r="D37" s="71">
        <v>18279</v>
      </c>
    </row>
    <row r="38" spans="1:4">
      <c r="C38" s="18"/>
      <c r="D38" s="18"/>
    </row>
    <row r="39" spans="1:4" ht="13.5" thickBot="1">
      <c r="C39" s="73">
        <v>188863</v>
      </c>
      <c r="D39" s="73">
        <v>193588</v>
      </c>
    </row>
    <row r="40" spans="1:4">
      <c r="C40" s="18"/>
      <c r="D40" s="18"/>
    </row>
    <row r="41" spans="1:4">
      <c r="A41" s="12" t="s">
        <v>45</v>
      </c>
      <c r="B41" s="12"/>
      <c r="C41" s="18"/>
      <c r="D41" s="18"/>
    </row>
    <row r="42" spans="1:4">
      <c r="A42" t="s">
        <v>46</v>
      </c>
      <c r="C42" s="18">
        <v>134331</v>
      </c>
      <c r="D42" s="18">
        <v>134331</v>
      </c>
    </row>
    <row r="43" spans="1:4" s="21" customFormat="1">
      <c r="A43" s="21" t="s">
        <v>47</v>
      </c>
      <c r="C43" s="29">
        <v>54532</v>
      </c>
      <c r="D43" s="29">
        <v>59257</v>
      </c>
    </row>
    <row r="44" spans="1:4" s="21" customFormat="1">
      <c r="C44" s="25">
        <v>188863</v>
      </c>
      <c r="D44" s="25">
        <v>193588</v>
      </c>
    </row>
    <row r="45" spans="1:4" s="21" customFormat="1">
      <c r="A45" s="31" t="s">
        <v>23</v>
      </c>
      <c r="B45" s="20"/>
      <c r="C45" s="25">
        <v>0</v>
      </c>
      <c r="D45" s="25">
        <v>0</v>
      </c>
    </row>
    <row r="46" spans="1:4" s="21" customFormat="1" ht="22.5" customHeight="1" thickBot="1">
      <c r="A46" s="20" t="s">
        <v>218</v>
      </c>
      <c r="C46" s="180">
        <v>188863</v>
      </c>
      <c r="D46" s="180">
        <v>193588</v>
      </c>
    </row>
    <row r="47" spans="1:4" s="21" customFormat="1">
      <c r="C47" s="23"/>
      <c r="D47" s="23"/>
    </row>
    <row r="48" spans="1:4" s="21" customFormat="1" hidden="1">
      <c r="A48" s="20" t="s">
        <v>49</v>
      </c>
      <c r="B48" s="20"/>
      <c r="C48" s="22"/>
      <c r="D48" s="22"/>
    </row>
    <row r="50" spans="1:2">
      <c r="A50" s="12" t="s">
        <v>50</v>
      </c>
      <c r="B50" s="12"/>
    </row>
    <row r="51" spans="1:2">
      <c r="A51" s="12" t="s">
        <v>304</v>
      </c>
      <c r="B51" s="12"/>
    </row>
  </sheetData>
  <phoneticPr fontId="0" type="noConversion"/>
  <pageMargins left="0.54" right="0.75" top="0.63" bottom="0.72" header="0.5" footer="0.37"/>
  <pageSetup paperSize="9" orientation="portrait" blackAndWhite="1" horizontalDpi="4294967292" verticalDpi="1200" r:id="rId1"/>
  <headerFooter alignWithMargins="0">
    <oddFooter>&amp;L&amp;D&amp;F&amp;A&amp;T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theme="7" tint="0.59999389629810485"/>
    <pageSetUpPr fitToPage="1"/>
  </sheetPr>
  <dimension ref="A1:K42"/>
  <sheetViews>
    <sheetView workbookViewId="0"/>
  </sheetViews>
  <sheetFormatPr defaultColWidth="6.7109375" defaultRowHeight="12.75"/>
  <cols>
    <col min="1" max="1" width="13.5703125" style="12" customWidth="1"/>
    <col min="2" max="3" width="6.7109375" style="12" customWidth="1"/>
    <col min="4" max="4" width="16.140625" style="12" customWidth="1"/>
    <col min="5" max="5" width="9" style="12" customWidth="1"/>
    <col min="6" max="10" width="11.7109375" style="12" customWidth="1"/>
    <col min="11" max="11" width="7.5703125" style="12" bestFit="1" customWidth="1"/>
    <col min="12" max="16384" width="6.7109375" style="12"/>
  </cols>
  <sheetData>
    <row r="1" spans="1:10">
      <c r="A1" s="8" t="s">
        <v>3</v>
      </c>
    </row>
    <row r="2" spans="1:10">
      <c r="A2" s="12" t="s">
        <v>317</v>
      </c>
    </row>
    <row r="6" spans="1:10">
      <c r="G6" s="192" t="s">
        <v>51</v>
      </c>
      <c r="H6" s="192"/>
      <c r="I6" s="178"/>
    </row>
    <row r="7" spans="1:10">
      <c r="F7" s="51"/>
      <c r="G7" s="51"/>
      <c r="H7" s="51" t="s">
        <v>52</v>
      </c>
      <c r="I7" s="51"/>
    </row>
    <row r="8" spans="1:10">
      <c r="F8" s="51" t="s">
        <v>53</v>
      </c>
      <c r="G8" s="51" t="s">
        <v>53</v>
      </c>
      <c r="H8" s="51" t="s">
        <v>54</v>
      </c>
      <c r="I8" s="51" t="s">
        <v>6</v>
      </c>
    </row>
    <row r="9" spans="1:10">
      <c r="F9" s="51" t="s">
        <v>55</v>
      </c>
      <c r="G9" s="51" t="s">
        <v>56</v>
      </c>
      <c r="H9" s="51" t="s">
        <v>57</v>
      </c>
      <c r="I9" s="51" t="s">
        <v>193</v>
      </c>
      <c r="J9" s="51" t="s">
        <v>58</v>
      </c>
    </row>
    <row r="10" spans="1:10">
      <c r="E10" s="51" t="s">
        <v>13</v>
      </c>
      <c r="F10" s="51" t="s">
        <v>5</v>
      </c>
      <c r="G10" s="51" t="s">
        <v>5</v>
      </c>
      <c r="H10" s="51" t="s">
        <v>5</v>
      </c>
      <c r="I10" s="51" t="s">
        <v>5</v>
      </c>
      <c r="J10" s="51" t="s">
        <v>5</v>
      </c>
    </row>
    <row r="11" spans="1:10">
      <c r="F11" s="51"/>
      <c r="G11" s="51"/>
      <c r="H11" s="51"/>
      <c r="I11" s="51"/>
      <c r="J11" s="51"/>
    </row>
    <row r="12" spans="1:10">
      <c r="F12" s="51"/>
      <c r="G12" s="51"/>
      <c r="H12" s="51"/>
      <c r="I12" s="51"/>
      <c r="J12" s="51"/>
    </row>
    <row r="13" spans="1:10">
      <c r="F13" s="59"/>
      <c r="G13" s="59"/>
      <c r="H13" s="59"/>
      <c r="I13" s="59"/>
      <c r="J13" s="59"/>
    </row>
    <row r="14" spans="1:10">
      <c r="A14" s="12" t="s">
        <v>307</v>
      </c>
      <c r="B14" s="14"/>
      <c r="C14" s="14"/>
      <c r="F14" s="59">
        <v>134331</v>
      </c>
      <c r="G14" s="59">
        <v>4112</v>
      </c>
      <c r="H14" s="59">
        <v>2138</v>
      </c>
      <c r="I14" s="59">
        <v>53006.764600000002</v>
      </c>
      <c r="J14" s="59">
        <v>193587.76459999999</v>
      </c>
    </row>
    <row r="15" spans="1:10">
      <c r="F15" s="59"/>
      <c r="G15" s="59"/>
      <c r="H15" s="59"/>
      <c r="I15" s="59"/>
      <c r="J15" s="59"/>
    </row>
    <row r="16" spans="1:10">
      <c r="A16" s="14"/>
      <c r="F16" s="59"/>
      <c r="G16" s="59"/>
      <c r="H16" s="59"/>
      <c r="I16" s="59"/>
      <c r="J16" s="59"/>
    </row>
    <row r="17" spans="1:11">
      <c r="A17" s="190" t="s">
        <v>316</v>
      </c>
      <c r="B17" s="14"/>
      <c r="C17" s="14"/>
      <c r="F17" s="59"/>
      <c r="G17" s="59"/>
      <c r="H17" s="59"/>
      <c r="I17" s="59">
        <v>2714</v>
      </c>
      <c r="J17" s="59">
        <v>2714</v>
      </c>
    </row>
    <row r="18" spans="1:11">
      <c r="A18" s="14" t="s">
        <v>59</v>
      </c>
      <c r="B18" s="14"/>
      <c r="C18" s="14"/>
      <c r="F18" s="59"/>
      <c r="G18" s="59"/>
      <c r="H18" s="59"/>
      <c r="I18" s="59">
        <v>-7439</v>
      </c>
      <c r="J18" s="59">
        <v>-7439</v>
      </c>
    </row>
    <row r="19" spans="1:11" hidden="1">
      <c r="A19" s="14" t="s">
        <v>60</v>
      </c>
      <c r="B19" s="14"/>
      <c r="C19" s="14"/>
      <c r="F19" s="59"/>
      <c r="G19" s="59"/>
      <c r="H19" s="59">
        <v>0</v>
      </c>
      <c r="I19" s="59"/>
      <c r="J19" s="59">
        <v>0</v>
      </c>
    </row>
    <row r="20" spans="1:11">
      <c r="A20" s="14"/>
      <c r="B20" s="14"/>
      <c r="C20" s="14"/>
      <c r="F20" s="63"/>
      <c r="G20" s="63"/>
      <c r="H20" s="63"/>
      <c r="I20" s="63"/>
      <c r="J20" s="63"/>
    </row>
    <row r="21" spans="1:11" s="20" customFormat="1" hidden="1">
      <c r="A21" s="31" t="s">
        <v>223</v>
      </c>
      <c r="B21" s="31"/>
      <c r="C21" s="31"/>
      <c r="F21" s="62"/>
      <c r="G21" s="62"/>
      <c r="H21" s="62"/>
      <c r="I21" s="62"/>
      <c r="J21" s="62">
        <v>0</v>
      </c>
    </row>
    <row r="22" spans="1:11" s="20" customFormat="1" hidden="1">
      <c r="A22" s="31" t="s">
        <v>226</v>
      </c>
      <c r="B22" s="31"/>
      <c r="C22" s="31"/>
      <c r="F22" s="64"/>
      <c r="G22" s="64"/>
      <c r="H22" s="64"/>
      <c r="I22" s="64"/>
      <c r="J22" s="64">
        <v>0</v>
      </c>
    </row>
    <row r="23" spans="1:11">
      <c r="A23" s="14"/>
      <c r="B23" s="14"/>
      <c r="C23" s="14"/>
      <c r="F23" s="59"/>
      <c r="G23" s="59"/>
      <c r="H23" s="59"/>
      <c r="I23" s="59"/>
      <c r="J23" s="59"/>
    </row>
    <row r="24" spans="1:11">
      <c r="A24" s="68" t="s">
        <v>313</v>
      </c>
      <c r="B24" s="14"/>
      <c r="C24" s="14"/>
      <c r="F24" s="59">
        <v>134331</v>
      </c>
      <c r="G24" s="59">
        <v>4112</v>
      </c>
      <c r="H24" s="59">
        <v>2138</v>
      </c>
      <c r="I24" s="59">
        <v>48281.764600000002</v>
      </c>
      <c r="J24" s="59">
        <v>188862.76459999999</v>
      </c>
      <c r="K24" s="18"/>
    </row>
    <row r="25" spans="1:11" ht="13.5" thickBot="1">
      <c r="A25" s="14"/>
      <c r="B25" s="14"/>
      <c r="C25" s="14"/>
      <c r="F25" s="65"/>
      <c r="G25" s="65"/>
      <c r="H25" s="65"/>
      <c r="I25" s="65"/>
      <c r="J25" s="65"/>
      <c r="K25" s="18"/>
    </row>
    <row r="26" spans="1:11">
      <c r="A26" s="14"/>
      <c r="B26" s="14"/>
      <c r="C26" s="14"/>
      <c r="F26" s="59"/>
      <c r="G26" s="59"/>
      <c r="H26" s="59"/>
      <c r="I26" s="59"/>
      <c r="J26" s="59"/>
    </row>
    <row r="27" spans="1:11">
      <c r="A27" s="14"/>
      <c r="B27" s="14"/>
      <c r="C27" s="14"/>
      <c r="F27" s="59"/>
      <c r="G27" s="59"/>
      <c r="H27" s="59"/>
      <c r="I27" s="59"/>
      <c r="J27" s="59"/>
    </row>
    <row r="28" spans="1:11">
      <c r="A28" s="12" t="s">
        <v>305</v>
      </c>
      <c r="B28" s="14"/>
      <c r="C28" s="14"/>
      <c r="F28" s="59">
        <v>134331</v>
      </c>
      <c r="G28" s="59">
        <v>4112</v>
      </c>
      <c r="H28" s="59">
        <v>2138</v>
      </c>
      <c r="I28" s="59">
        <v>57237</v>
      </c>
      <c r="J28" s="59">
        <v>197818</v>
      </c>
    </row>
    <row r="29" spans="1:11">
      <c r="F29" s="59"/>
      <c r="G29" s="59"/>
      <c r="H29" s="59"/>
      <c r="I29" s="59"/>
      <c r="J29" s="59"/>
    </row>
    <row r="30" spans="1:11">
      <c r="A30" s="14"/>
      <c r="F30" s="59"/>
      <c r="G30" s="59"/>
      <c r="H30" s="59"/>
      <c r="I30" s="59"/>
      <c r="J30" s="59"/>
    </row>
    <row r="31" spans="1:11">
      <c r="A31" s="191" t="s">
        <v>316</v>
      </c>
      <c r="B31" s="14"/>
      <c r="C31" s="14"/>
      <c r="F31" s="59"/>
      <c r="G31" s="59"/>
      <c r="H31" s="59"/>
      <c r="I31" s="59">
        <v>4260</v>
      </c>
      <c r="J31" s="59">
        <v>4260</v>
      </c>
    </row>
    <row r="32" spans="1:11">
      <c r="A32" s="14" t="s">
        <v>59</v>
      </c>
      <c r="B32" s="14"/>
      <c r="C32" s="14"/>
      <c r="F32" s="59"/>
      <c r="G32" s="59"/>
      <c r="H32" s="59"/>
      <c r="I32" s="59">
        <v>-9918</v>
      </c>
      <c r="J32" s="59">
        <v>-9918</v>
      </c>
    </row>
    <row r="33" spans="1:11" hidden="1">
      <c r="A33" s="14" t="s">
        <v>60</v>
      </c>
      <c r="B33" s="14"/>
      <c r="C33" s="14"/>
      <c r="F33" s="59"/>
      <c r="G33" s="59"/>
      <c r="H33" s="59">
        <v>0</v>
      </c>
      <c r="I33" s="59"/>
      <c r="J33" s="59">
        <v>0</v>
      </c>
    </row>
    <row r="34" spans="1:11">
      <c r="A34" s="14"/>
      <c r="B34" s="14"/>
      <c r="C34" s="14"/>
      <c r="F34" s="63"/>
      <c r="G34" s="63"/>
      <c r="H34" s="63"/>
      <c r="I34" s="63"/>
      <c r="J34" s="63"/>
    </row>
    <row r="35" spans="1:11">
      <c r="A35" s="14"/>
      <c r="B35" s="14"/>
      <c r="C35" s="14"/>
      <c r="F35" s="59"/>
      <c r="G35" s="59"/>
      <c r="H35" s="59"/>
      <c r="I35" s="59"/>
      <c r="J35" s="59"/>
    </row>
    <row r="36" spans="1:11">
      <c r="A36" s="68" t="s">
        <v>314</v>
      </c>
      <c r="B36" s="14"/>
      <c r="C36" s="14"/>
      <c r="F36" s="59">
        <v>134331</v>
      </c>
      <c r="G36" s="59">
        <v>4112</v>
      </c>
      <c r="H36" s="59">
        <v>2138</v>
      </c>
      <c r="I36" s="59">
        <v>51579</v>
      </c>
      <c r="J36" s="59">
        <v>192160</v>
      </c>
      <c r="K36" s="18"/>
    </row>
    <row r="37" spans="1:11" ht="13.5" thickBot="1">
      <c r="A37" s="14"/>
      <c r="B37" s="14"/>
      <c r="C37" s="14"/>
      <c r="F37" s="65"/>
      <c r="G37" s="65"/>
      <c r="H37" s="65"/>
      <c r="I37" s="65"/>
      <c r="J37" s="65"/>
      <c r="K37" s="18"/>
    </row>
    <row r="38" spans="1:11" s="44" customFormat="1">
      <c r="A38" s="15"/>
      <c r="B38" s="15"/>
      <c r="C38" s="15"/>
      <c r="F38" s="60"/>
      <c r="G38" s="60"/>
      <c r="H38" s="60"/>
      <c r="I38" s="60"/>
      <c r="J38" s="60"/>
    </row>
    <row r="39" spans="1:11">
      <c r="A39" s="14"/>
      <c r="B39" s="14"/>
      <c r="C39" s="14"/>
      <c r="F39" s="59"/>
      <c r="G39" s="59"/>
      <c r="H39" s="59"/>
      <c r="I39" s="59"/>
      <c r="J39" s="59"/>
    </row>
    <row r="40" spans="1:11">
      <c r="A40" s="14"/>
      <c r="B40" s="14"/>
      <c r="C40" s="14"/>
      <c r="F40" s="59"/>
      <c r="G40" s="59"/>
      <c r="H40" s="59"/>
      <c r="I40" s="59"/>
      <c r="J40" s="59"/>
    </row>
    <row r="41" spans="1:11">
      <c r="A41" s="12" t="s">
        <v>61</v>
      </c>
      <c r="B41" s="14"/>
      <c r="C41" s="14"/>
      <c r="F41" s="76"/>
      <c r="G41" s="76"/>
      <c r="H41" s="76"/>
      <c r="I41" s="76"/>
      <c r="J41" s="76"/>
    </row>
    <row r="42" spans="1:11">
      <c r="A42" s="12" t="s">
        <v>306</v>
      </c>
      <c r="B42" s="14"/>
      <c r="C42" s="14"/>
      <c r="F42" s="76"/>
      <c r="G42" s="76"/>
      <c r="H42" s="76"/>
      <c r="I42" s="76"/>
      <c r="J42" s="76"/>
    </row>
  </sheetData>
  <mergeCells count="1">
    <mergeCell ref="G6:H6"/>
  </mergeCells>
  <phoneticPr fontId="0" type="noConversion"/>
  <pageMargins left="0.75" right="0.75" top="1" bottom="1" header="0.5" footer="0.5"/>
  <pageSetup paperSize="9" scale="78" orientation="portrait" blackAndWhite="1" horizontalDpi="4294967292" verticalDpi="300" r:id="rId1"/>
  <headerFooter alignWithMargins="0">
    <oddFooter>&amp;L&amp;D&amp;F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theme="7" tint="0.59999389629810485"/>
    <pageSetUpPr fitToPage="1"/>
  </sheetPr>
  <dimension ref="A1:D53"/>
  <sheetViews>
    <sheetView workbookViewId="0">
      <selection activeCell="A7" sqref="A7"/>
    </sheetView>
  </sheetViews>
  <sheetFormatPr defaultColWidth="6.7109375" defaultRowHeight="12.75"/>
  <cols>
    <col min="1" max="1" width="49.7109375" style="12" customWidth="1"/>
    <col min="2" max="2" width="13.42578125" style="44" customWidth="1"/>
    <col min="3" max="3" width="13.42578125" style="12" customWidth="1"/>
    <col min="4" max="4" width="16" style="44" customWidth="1"/>
    <col min="5" max="16384" width="6.7109375" style="12"/>
  </cols>
  <sheetData>
    <row r="1" spans="1:4">
      <c r="A1" s="8" t="s">
        <v>3</v>
      </c>
      <c r="B1" s="77"/>
      <c r="C1" s="8"/>
      <c r="D1" s="77"/>
    </row>
    <row r="2" spans="1:4">
      <c r="A2" s="12" t="s">
        <v>310</v>
      </c>
    </row>
    <row r="4" spans="1:4" ht="13.5" thickBot="1"/>
    <row r="5" spans="1:4" ht="27" customHeight="1" thickBot="1">
      <c r="B5" s="181" t="s">
        <v>279</v>
      </c>
      <c r="C5" s="181" t="s">
        <v>284</v>
      </c>
    </row>
    <row r="6" spans="1:4">
      <c r="B6" s="49">
        <v>2010</v>
      </c>
      <c r="C6" s="49">
        <v>2009</v>
      </c>
      <c r="D6" s="49"/>
    </row>
    <row r="7" spans="1:4">
      <c r="B7" s="56" t="s">
        <v>5</v>
      </c>
      <c r="C7" s="56" t="s">
        <v>5</v>
      </c>
      <c r="D7" s="100"/>
    </row>
    <row r="8" spans="1:4">
      <c r="C8" s="44"/>
    </row>
    <row r="9" spans="1:4">
      <c r="A9" s="12" t="s">
        <v>62</v>
      </c>
      <c r="C9" s="44"/>
    </row>
    <row r="10" spans="1:4">
      <c r="A10" s="14" t="s">
        <v>63</v>
      </c>
      <c r="B10" s="61">
        <v>11170</v>
      </c>
      <c r="C10" s="61">
        <v>-6494</v>
      </c>
      <c r="D10" s="62"/>
    </row>
    <row r="11" spans="1:4" hidden="1">
      <c r="A11" s="14" t="s">
        <v>64</v>
      </c>
      <c r="B11" s="61">
        <v>0</v>
      </c>
      <c r="C11" s="61">
        <v>0</v>
      </c>
      <c r="D11" s="62"/>
    </row>
    <row r="12" spans="1:4">
      <c r="A12" s="14" t="s">
        <v>65</v>
      </c>
      <c r="B12" s="61">
        <v>-765</v>
      </c>
      <c r="C12" s="61">
        <v>-508</v>
      </c>
      <c r="D12" s="62"/>
    </row>
    <row r="13" spans="1:4" hidden="1">
      <c r="A13" s="14" t="s">
        <v>66</v>
      </c>
      <c r="B13" s="61">
        <v>0</v>
      </c>
      <c r="C13" s="61">
        <v>0</v>
      </c>
      <c r="D13" s="46"/>
    </row>
    <row r="14" spans="1:4">
      <c r="A14" s="191" t="s">
        <v>309</v>
      </c>
      <c r="B14" s="61">
        <v>3209</v>
      </c>
      <c r="C14" s="61"/>
      <c r="D14" s="46"/>
    </row>
    <row r="15" spans="1:4">
      <c r="A15" s="14" t="s">
        <v>67</v>
      </c>
      <c r="B15" s="61">
        <v>-1495</v>
      </c>
      <c r="C15" s="61">
        <v>-723</v>
      </c>
      <c r="D15" s="62"/>
    </row>
    <row r="16" spans="1:4">
      <c r="A16" s="14" t="s">
        <v>68</v>
      </c>
      <c r="B16" s="79">
        <v>12119</v>
      </c>
      <c r="C16" s="79">
        <v>-7725</v>
      </c>
      <c r="D16" s="62"/>
    </row>
    <row r="17" spans="1:4">
      <c r="B17" s="61"/>
      <c r="C17" s="61"/>
      <c r="D17" s="62"/>
    </row>
    <row r="18" spans="1:4">
      <c r="B18" s="61"/>
      <c r="C18" s="61"/>
      <c r="D18" s="62"/>
    </row>
    <row r="19" spans="1:4">
      <c r="A19" s="12" t="s">
        <v>69</v>
      </c>
      <c r="B19" s="61"/>
      <c r="C19" s="61"/>
      <c r="D19" s="62"/>
    </row>
    <row r="20" spans="1:4">
      <c r="A20" s="14" t="s">
        <v>70</v>
      </c>
      <c r="B20" s="61">
        <v>-8411</v>
      </c>
      <c r="C20" s="61">
        <v>-1814</v>
      </c>
      <c r="D20" s="62"/>
    </row>
    <row r="21" spans="1:4">
      <c r="A21" s="14" t="s">
        <v>71</v>
      </c>
      <c r="B21" s="61">
        <v>122</v>
      </c>
      <c r="C21" s="61">
        <v>6</v>
      </c>
      <c r="D21" s="62"/>
    </row>
    <row r="22" spans="1:4" hidden="1">
      <c r="A22" s="14" t="s">
        <v>194</v>
      </c>
      <c r="B22" s="61">
        <v>0</v>
      </c>
      <c r="C22" s="61">
        <v>0</v>
      </c>
      <c r="D22" s="62"/>
    </row>
    <row r="23" spans="1:4" hidden="1">
      <c r="A23" s="15" t="s">
        <v>72</v>
      </c>
      <c r="B23" s="61">
        <v>0</v>
      </c>
      <c r="C23" s="61">
        <v>0</v>
      </c>
      <c r="D23" s="62"/>
    </row>
    <row r="24" spans="1:4">
      <c r="A24" s="14" t="s">
        <v>192</v>
      </c>
      <c r="B24" s="61">
        <v>696</v>
      </c>
      <c r="C24" s="61">
        <v>634</v>
      </c>
      <c r="D24" s="62"/>
    </row>
    <row r="25" spans="1:4" hidden="1">
      <c r="A25" s="14" t="s">
        <v>73</v>
      </c>
      <c r="B25" s="62">
        <v>0</v>
      </c>
      <c r="C25" s="62">
        <v>0</v>
      </c>
      <c r="D25" s="62"/>
    </row>
    <row r="26" spans="1:4">
      <c r="A26" s="14" t="s">
        <v>74</v>
      </c>
      <c r="B26" s="79">
        <v>-7593</v>
      </c>
      <c r="C26" s="79">
        <v>-1174</v>
      </c>
      <c r="D26" s="62"/>
    </row>
    <row r="27" spans="1:4">
      <c r="B27" s="62"/>
      <c r="C27" s="62"/>
      <c r="D27" s="62"/>
    </row>
    <row r="28" spans="1:4">
      <c r="A28" s="12" t="s">
        <v>75</v>
      </c>
      <c r="B28" s="62"/>
      <c r="C28" s="62"/>
      <c r="D28" s="62"/>
    </row>
    <row r="29" spans="1:4" hidden="1">
      <c r="A29" s="15" t="s">
        <v>76</v>
      </c>
      <c r="B29" s="62">
        <v>0</v>
      </c>
      <c r="C29" s="62">
        <v>0</v>
      </c>
      <c r="D29" s="62"/>
    </row>
    <row r="30" spans="1:4">
      <c r="A30" s="15" t="s">
        <v>189</v>
      </c>
      <c r="B30" s="62"/>
      <c r="C30" s="62"/>
      <c r="D30" s="62"/>
    </row>
    <row r="31" spans="1:4">
      <c r="A31" s="15" t="s">
        <v>190</v>
      </c>
      <c r="B31" s="62">
        <v>-7439</v>
      </c>
      <c r="C31" s="62">
        <v>-9919</v>
      </c>
      <c r="D31" s="62"/>
    </row>
    <row r="32" spans="1:4" hidden="1">
      <c r="A32" s="15" t="s">
        <v>191</v>
      </c>
      <c r="B32" s="62">
        <v>0</v>
      </c>
      <c r="C32" s="62">
        <v>0</v>
      </c>
      <c r="D32" s="62"/>
    </row>
    <row r="33" spans="1:4" hidden="1">
      <c r="A33" s="15" t="s">
        <v>78</v>
      </c>
      <c r="B33" s="62">
        <v>0</v>
      </c>
      <c r="C33" s="62">
        <v>0</v>
      </c>
      <c r="D33" s="62"/>
    </row>
    <row r="34" spans="1:4" hidden="1">
      <c r="A34" s="14" t="s">
        <v>64</v>
      </c>
      <c r="B34" s="62">
        <v>0</v>
      </c>
      <c r="C34" s="62">
        <v>0</v>
      </c>
      <c r="D34" s="62"/>
    </row>
    <row r="35" spans="1:4">
      <c r="A35" s="12" t="s">
        <v>79</v>
      </c>
      <c r="B35" s="79">
        <v>-7439</v>
      </c>
      <c r="C35" s="79">
        <v>-9919</v>
      </c>
      <c r="D35" s="62"/>
    </row>
    <row r="36" spans="1:4">
      <c r="B36" s="62"/>
      <c r="C36" s="62"/>
      <c r="D36" s="62"/>
    </row>
    <row r="37" spans="1:4">
      <c r="A37" s="12" t="s">
        <v>80</v>
      </c>
      <c r="B37" s="62">
        <v>-2913</v>
      </c>
      <c r="C37" s="62">
        <v>-18818</v>
      </c>
      <c r="D37" s="62"/>
    </row>
    <row r="38" spans="1:4">
      <c r="B38" s="61"/>
      <c r="C38" s="61"/>
      <c r="D38" s="62"/>
    </row>
    <row r="39" spans="1:4">
      <c r="A39" s="12" t="s">
        <v>81</v>
      </c>
      <c r="B39" s="61">
        <v>42568</v>
      </c>
      <c r="C39" s="61">
        <v>60614</v>
      </c>
      <c r="D39" s="62"/>
    </row>
    <row r="40" spans="1:4">
      <c r="B40" s="61"/>
      <c r="C40" s="61"/>
      <c r="D40" s="62"/>
    </row>
    <row r="41" spans="1:4" ht="13.5" thickBot="1">
      <c r="A41" s="12" t="s">
        <v>131</v>
      </c>
      <c r="B41" s="81">
        <v>39655</v>
      </c>
      <c r="C41" s="81">
        <v>41796</v>
      </c>
      <c r="D41" s="62"/>
    </row>
    <row r="42" spans="1:4">
      <c r="B42" s="20"/>
      <c r="C42" s="20"/>
      <c r="D42" s="46"/>
    </row>
    <row r="43" spans="1:4">
      <c r="B43" s="61"/>
      <c r="C43" s="61"/>
    </row>
    <row r="44" spans="1:4">
      <c r="B44" s="61"/>
      <c r="C44" s="61"/>
    </row>
    <row r="45" spans="1:4">
      <c r="A45" s="12" t="s">
        <v>82</v>
      </c>
      <c r="B45" s="20"/>
      <c r="C45" s="20"/>
    </row>
    <row r="46" spans="1:4">
      <c r="A46" s="12" t="s">
        <v>304</v>
      </c>
      <c r="B46" s="20"/>
      <c r="C46" s="20"/>
    </row>
    <row r="47" spans="1:4">
      <c r="C47" s="44"/>
    </row>
    <row r="48" spans="1:4">
      <c r="C48" s="44"/>
    </row>
    <row r="49" spans="3:3">
      <c r="C49" s="44"/>
    </row>
    <row r="50" spans="3:3">
      <c r="C50" s="44"/>
    </row>
    <row r="51" spans="3:3">
      <c r="C51" s="44"/>
    </row>
    <row r="52" spans="3:3">
      <c r="C52" s="44"/>
    </row>
    <row r="53" spans="3:3">
      <c r="C53" s="44"/>
    </row>
  </sheetData>
  <phoneticPr fontId="0" type="noConversion"/>
  <pageMargins left="0.75" right="0.75" top="1" bottom="1" header="0.5" footer="0.5"/>
  <pageSetup paperSize="9" scale="94" orientation="portrait" horizontalDpi="4294967292" verticalDpi="1200" r:id="rId1"/>
  <headerFooter alignWithMargins="0">
    <oddFooter>&amp;L&amp;D&amp;F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enableFormatConditionsCalculation="0">
    <tabColor rgb="FF0070C0"/>
    <pageSetUpPr fitToPage="1"/>
  </sheetPr>
  <dimension ref="A4:I103"/>
  <sheetViews>
    <sheetView topLeftCell="A83" workbookViewId="0">
      <selection activeCell="A103" sqref="A103"/>
    </sheetView>
  </sheetViews>
  <sheetFormatPr defaultRowHeight="12.75"/>
  <cols>
    <col min="1" max="1" width="19.7109375" customWidth="1"/>
    <col min="2" max="2" width="14.85546875" customWidth="1"/>
    <col min="3" max="3" width="15.28515625" customWidth="1"/>
    <col min="5" max="5" width="11.7109375" customWidth="1"/>
    <col min="6" max="6" width="15.7109375" customWidth="1"/>
  </cols>
  <sheetData>
    <row r="4" spans="1:9">
      <c r="A4" s="12" t="s">
        <v>176</v>
      </c>
    </row>
    <row r="5" spans="1:9">
      <c r="B5" s="86" t="s">
        <v>91</v>
      </c>
      <c r="C5" s="86" t="s">
        <v>90</v>
      </c>
      <c r="E5" s="12"/>
      <c r="F5" s="12"/>
    </row>
    <row r="6" spans="1:9">
      <c r="A6" s="87"/>
      <c r="B6" s="88" t="s">
        <v>93</v>
      </c>
      <c r="C6" s="88" t="s">
        <v>92</v>
      </c>
      <c r="E6" s="86" t="s">
        <v>58</v>
      </c>
      <c r="F6" s="86" t="s">
        <v>94</v>
      </c>
      <c r="G6" s="85" t="s">
        <v>95</v>
      </c>
    </row>
    <row r="7" spans="1:9">
      <c r="A7" s="11" t="s">
        <v>96</v>
      </c>
      <c r="B7" s="33">
        <v>4148000</v>
      </c>
      <c r="C7" s="33"/>
      <c r="E7">
        <f>+C7+B7</f>
        <v>4148000</v>
      </c>
      <c r="F7" s="32"/>
      <c r="G7" s="32"/>
    </row>
    <row r="8" spans="1:9">
      <c r="A8" s="11" t="s">
        <v>95</v>
      </c>
      <c r="B8" s="89">
        <v>-303000</v>
      </c>
      <c r="C8" s="89"/>
      <c r="E8" s="43">
        <f>+B8</f>
        <v>-303000</v>
      </c>
      <c r="F8" s="32"/>
      <c r="G8" s="32">
        <f>+B8</f>
        <v>-303000</v>
      </c>
    </row>
    <row r="9" spans="1:9">
      <c r="A9" s="90" t="s">
        <v>97</v>
      </c>
      <c r="B9" s="33">
        <f>+B7+B8</f>
        <v>3845000</v>
      </c>
      <c r="C9" s="33"/>
      <c r="E9">
        <f>SUM(E7:E8)</f>
        <v>3845000</v>
      </c>
      <c r="F9" s="32"/>
      <c r="G9" s="32"/>
    </row>
    <row r="10" spans="1:9">
      <c r="A10" s="11" t="s">
        <v>98</v>
      </c>
      <c r="B10" s="33"/>
      <c r="C10" s="33">
        <v>3969000</v>
      </c>
      <c r="E10">
        <f>+C10</f>
        <v>3969000</v>
      </c>
      <c r="F10" s="32"/>
      <c r="G10" s="32"/>
    </row>
    <row r="11" spans="1:9">
      <c r="A11" s="11"/>
      <c r="B11" s="33"/>
      <c r="C11" s="33"/>
      <c r="E11">
        <f>+C11</f>
        <v>0</v>
      </c>
      <c r="F11" s="32"/>
      <c r="G11" s="32"/>
    </row>
    <row r="12" spans="1:9">
      <c r="A12" s="91" t="s">
        <v>95</v>
      </c>
      <c r="B12" s="89"/>
      <c r="C12" s="89">
        <v>-446000</v>
      </c>
      <c r="E12" s="43">
        <f>+C12</f>
        <v>-446000</v>
      </c>
      <c r="F12" s="32"/>
      <c r="G12" s="32">
        <f>+C12</f>
        <v>-446000</v>
      </c>
    </row>
    <row r="13" spans="1:9">
      <c r="A13" s="11"/>
      <c r="B13" s="33">
        <f>+B9</f>
        <v>3845000</v>
      </c>
      <c r="C13" s="33">
        <f>+C10+C12</f>
        <v>3523000</v>
      </c>
      <c r="E13">
        <f>SUM(E9:E12)</f>
        <v>7368000</v>
      </c>
      <c r="F13" s="32"/>
      <c r="G13" s="32"/>
    </row>
    <row r="14" spans="1:9">
      <c r="A14" s="91" t="s">
        <v>99</v>
      </c>
      <c r="B14">
        <v>0</v>
      </c>
      <c r="C14">
        <v>-31000</v>
      </c>
      <c r="E14">
        <f>+C14+B14</f>
        <v>-31000</v>
      </c>
      <c r="F14" s="32">
        <f>+E14</f>
        <v>-31000</v>
      </c>
      <c r="G14" s="32"/>
      <c r="I14" t="s">
        <v>100</v>
      </c>
    </row>
    <row r="15" spans="1:9">
      <c r="A15" s="91" t="s">
        <v>95</v>
      </c>
      <c r="B15" s="43">
        <v>-515000</v>
      </c>
      <c r="C15" s="43">
        <v>-338000</v>
      </c>
      <c r="E15" s="43">
        <f>+C15+B15</f>
        <v>-853000</v>
      </c>
      <c r="F15" s="32"/>
      <c r="G15" s="32">
        <f>+E15</f>
        <v>-853000</v>
      </c>
    </row>
    <row r="16" spans="1:9">
      <c r="A16" s="11" t="s">
        <v>101</v>
      </c>
      <c r="B16">
        <f>SUM(B13:B15)</f>
        <v>3330000</v>
      </c>
      <c r="C16">
        <f>SUM(C13:C15)</f>
        <v>3154000</v>
      </c>
      <c r="E16">
        <f>SUM(E13:E15)</f>
        <v>6484000</v>
      </c>
      <c r="F16" s="32"/>
      <c r="G16" s="32"/>
      <c r="H16">
        <f>+G9+G13+G16</f>
        <v>0</v>
      </c>
    </row>
    <row r="17" spans="1:7">
      <c r="A17" s="91" t="s">
        <v>102</v>
      </c>
      <c r="C17">
        <v>0</v>
      </c>
      <c r="E17">
        <f>+C17+B17</f>
        <v>0</v>
      </c>
      <c r="F17" s="32">
        <f>+E17</f>
        <v>0</v>
      </c>
      <c r="G17" s="32"/>
    </row>
    <row r="18" spans="1:7">
      <c r="A18" s="91" t="s">
        <v>95</v>
      </c>
      <c r="B18" s="43">
        <v>-125000</v>
      </c>
      <c r="C18" s="43">
        <v>-125000</v>
      </c>
      <c r="E18" s="43">
        <f>+C18+B18</f>
        <v>-250000</v>
      </c>
      <c r="F18" s="32"/>
      <c r="G18" s="32">
        <f>+E18</f>
        <v>-250000</v>
      </c>
    </row>
    <row r="19" spans="1:7">
      <c r="A19" s="11" t="s">
        <v>103</v>
      </c>
      <c r="B19">
        <f>SUM(B16:B18)</f>
        <v>3205000</v>
      </c>
      <c r="C19">
        <f>SUM(C16:C18)</f>
        <v>3029000</v>
      </c>
      <c r="E19">
        <f>SUM(E16:E18)</f>
        <v>6234000</v>
      </c>
      <c r="F19" s="32"/>
      <c r="G19" s="32"/>
    </row>
    <row r="20" spans="1:7">
      <c r="A20" s="91" t="s">
        <v>104</v>
      </c>
      <c r="B20">
        <v>0</v>
      </c>
      <c r="C20">
        <v>0</v>
      </c>
      <c r="E20">
        <f>+C20+B20</f>
        <v>0</v>
      </c>
      <c r="F20" s="32">
        <f>+E20</f>
        <v>0</v>
      </c>
      <c r="G20" s="32"/>
    </row>
    <row r="21" spans="1:7">
      <c r="A21" s="91" t="s">
        <v>95</v>
      </c>
      <c r="B21" s="43">
        <v>-19000</v>
      </c>
      <c r="C21" s="43">
        <v>-42000</v>
      </c>
      <c r="E21" s="43">
        <f>+C21+B21</f>
        <v>-61000</v>
      </c>
      <c r="F21" s="32"/>
      <c r="G21" s="32">
        <f>+E21</f>
        <v>-61000</v>
      </c>
    </row>
    <row r="22" spans="1:7">
      <c r="A22" s="11" t="s">
        <v>105</v>
      </c>
      <c r="B22">
        <f>SUM(B19:B21)</f>
        <v>3186000</v>
      </c>
      <c r="C22">
        <f>SUM(C19:C21)</f>
        <v>2987000</v>
      </c>
      <c r="E22">
        <f>SUM(E19:E21)</f>
        <v>6173000</v>
      </c>
      <c r="F22" s="32"/>
      <c r="G22" s="32"/>
    </row>
    <row r="23" spans="1:7">
      <c r="A23" s="91" t="s">
        <v>106</v>
      </c>
      <c r="C23">
        <v>-25000</v>
      </c>
      <c r="E23">
        <f>+C23+B23</f>
        <v>-25000</v>
      </c>
      <c r="F23" s="32">
        <f>+E23</f>
        <v>-25000</v>
      </c>
      <c r="G23" s="32"/>
    </row>
    <row r="24" spans="1:7">
      <c r="A24" s="91" t="s">
        <v>95</v>
      </c>
      <c r="B24" s="43">
        <v>-41000</v>
      </c>
      <c r="C24" s="43">
        <v>-35000</v>
      </c>
      <c r="E24" s="43">
        <f>+C24+B24</f>
        <v>-76000</v>
      </c>
      <c r="F24" s="32"/>
      <c r="G24" s="32">
        <f>+E24</f>
        <v>-76000</v>
      </c>
    </row>
    <row r="25" spans="1:7">
      <c r="A25" s="11" t="s">
        <v>107</v>
      </c>
      <c r="B25">
        <f>SUM(B22:B24)</f>
        <v>3145000</v>
      </c>
      <c r="C25">
        <f>SUM(C22:C24)</f>
        <v>2927000</v>
      </c>
      <c r="E25">
        <f>SUM(E22:E24)</f>
        <v>6072000</v>
      </c>
      <c r="F25" s="32"/>
      <c r="G25" s="32"/>
    </row>
    <row r="26" spans="1:7">
      <c r="A26" s="91" t="s">
        <v>108</v>
      </c>
      <c r="C26">
        <v>-145000</v>
      </c>
      <c r="E26">
        <f>+C26+B26</f>
        <v>-145000</v>
      </c>
      <c r="F26" s="32">
        <f>+E26</f>
        <v>-145000</v>
      </c>
      <c r="G26" s="32"/>
    </row>
    <row r="27" spans="1:7">
      <c r="A27" s="91" t="s">
        <v>95</v>
      </c>
      <c r="B27" s="43">
        <v>-46000</v>
      </c>
      <c r="C27" s="43">
        <v>-36000</v>
      </c>
      <c r="E27" s="43">
        <f>+C27+B27</f>
        <v>-82000</v>
      </c>
      <c r="F27" s="32"/>
      <c r="G27" s="32">
        <f>+E27</f>
        <v>-82000</v>
      </c>
    </row>
    <row r="28" spans="1:7">
      <c r="A28" s="11" t="s">
        <v>109</v>
      </c>
      <c r="B28">
        <f>SUM(B25:B27)</f>
        <v>3099000</v>
      </c>
      <c r="C28">
        <f>SUM(C25:C27)</f>
        <v>2746000</v>
      </c>
      <c r="E28">
        <f>+C28+B28</f>
        <v>5845000</v>
      </c>
      <c r="F28" s="32"/>
      <c r="G28" s="32"/>
    </row>
    <row r="29" spans="1:7">
      <c r="A29" s="91" t="s">
        <v>144</v>
      </c>
      <c r="C29">
        <v>0</v>
      </c>
      <c r="E29">
        <f>+C29+B29</f>
        <v>0</v>
      </c>
      <c r="F29" s="32">
        <f>+E29</f>
        <v>0</v>
      </c>
      <c r="G29" s="32"/>
    </row>
    <row r="30" spans="1:7">
      <c r="A30" s="91" t="s">
        <v>95</v>
      </c>
      <c r="B30" s="43">
        <v>-19000</v>
      </c>
      <c r="C30" s="43">
        <v>-8000</v>
      </c>
      <c r="E30" s="43">
        <f>+C30+B30</f>
        <v>-27000</v>
      </c>
      <c r="F30" s="32"/>
      <c r="G30" s="32">
        <f>+E30</f>
        <v>-27000</v>
      </c>
    </row>
    <row r="31" spans="1:7">
      <c r="A31" s="11" t="s">
        <v>145</v>
      </c>
      <c r="B31">
        <f>SUM(B28:B30)</f>
        <v>3080000</v>
      </c>
      <c r="C31">
        <f>SUM(C28:C30)</f>
        <v>2738000</v>
      </c>
      <c r="E31">
        <f>SUM(E28:E30)</f>
        <v>5818000</v>
      </c>
      <c r="F31" s="32"/>
      <c r="G31" s="32"/>
    </row>
    <row r="32" spans="1:7">
      <c r="A32" s="91" t="s">
        <v>177</v>
      </c>
      <c r="C32">
        <v>-10000</v>
      </c>
      <c r="E32">
        <f>+C32+B32</f>
        <v>-10000</v>
      </c>
      <c r="F32" s="32">
        <f>+E32</f>
        <v>-10000</v>
      </c>
      <c r="G32" s="32"/>
    </row>
    <row r="33" spans="1:7">
      <c r="A33" s="91" t="s">
        <v>95</v>
      </c>
      <c r="B33" s="43">
        <v>-1095000</v>
      </c>
      <c r="C33" s="43">
        <v>-832000</v>
      </c>
      <c r="E33" s="43">
        <f>+C33+B33</f>
        <v>-1927000</v>
      </c>
      <c r="F33" s="32"/>
      <c r="G33" s="32">
        <f>+E33</f>
        <v>-1927000</v>
      </c>
    </row>
    <row r="34" spans="1:7">
      <c r="A34" s="11" t="s">
        <v>178</v>
      </c>
      <c r="B34">
        <f>SUM(B31:B33)</f>
        <v>1985000</v>
      </c>
      <c r="C34">
        <f>SUM(C31:C33)</f>
        <v>1896000</v>
      </c>
      <c r="E34">
        <f>SUM(E31:E33)</f>
        <v>3881000</v>
      </c>
    </row>
    <row r="35" spans="1:7">
      <c r="A35" s="91" t="s">
        <v>180</v>
      </c>
      <c r="C35">
        <v>-668000</v>
      </c>
      <c r="E35">
        <f>+C35+B35</f>
        <v>-668000</v>
      </c>
      <c r="F35" s="32">
        <f>+E35</f>
        <v>-668000</v>
      </c>
      <c r="G35" s="32"/>
    </row>
    <row r="36" spans="1:7">
      <c r="A36" s="91" t="s">
        <v>95</v>
      </c>
      <c r="B36" s="43">
        <v>-60000</v>
      </c>
      <c r="C36" s="43"/>
      <c r="E36" s="43">
        <f>+C36+B36</f>
        <v>-60000</v>
      </c>
      <c r="F36" s="32"/>
      <c r="G36" s="32">
        <f>+E36</f>
        <v>-60000</v>
      </c>
    </row>
    <row r="37" spans="1:7">
      <c r="A37" s="11" t="s">
        <v>181</v>
      </c>
      <c r="B37">
        <f>SUM(B34:B36)</f>
        <v>1925000</v>
      </c>
      <c r="C37">
        <f>SUM(C34:C36)</f>
        <v>1228000</v>
      </c>
      <c r="E37">
        <f>SUM(E34:E36)</f>
        <v>3153000</v>
      </c>
    </row>
    <row r="38" spans="1:7">
      <c r="A38" s="91" t="s">
        <v>187</v>
      </c>
      <c r="C38">
        <v>-340000</v>
      </c>
      <c r="E38">
        <f>+C38+B38</f>
        <v>-340000</v>
      </c>
      <c r="F38" s="32">
        <f>+E38</f>
        <v>-340000</v>
      </c>
      <c r="G38" s="32"/>
    </row>
    <row r="39" spans="1:7">
      <c r="A39" s="91" t="s">
        <v>95</v>
      </c>
      <c r="B39" s="43">
        <v>0</v>
      </c>
      <c r="C39" s="43">
        <v>0</v>
      </c>
      <c r="E39" s="43">
        <f>+C39+B39</f>
        <v>0</v>
      </c>
      <c r="F39" s="32"/>
      <c r="G39" s="32">
        <f>+E39</f>
        <v>0</v>
      </c>
    </row>
    <row r="40" spans="1:7">
      <c r="A40" s="11" t="s">
        <v>188</v>
      </c>
      <c r="B40">
        <f>SUM(B37:B39)</f>
        <v>1925000</v>
      </c>
      <c r="C40">
        <f>SUM(C37:C39)</f>
        <v>888000</v>
      </c>
      <c r="E40">
        <f>+C40+B40</f>
        <v>2813000</v>
      </c>
      <c r="F40" s="32"/>
      <c r="G40" s="32"/>
    </row>
    <row r="41" spans="1:7">
      <c r="A41" s="91" t="s">
        <v>200</v>
      </c>
      <c r="C41">
        <v>-437000</v>
      </c>
      <c r="E41">
        <f>+C41+B41</f>
        <v>-437000</v>
      </c>
      <c r="F41" s="32">
        <f>+E41</f>
        <v>-437000</v>
      </c>
      <c r="G41" s="32"/>
    </row>
    <row r="42" spans="1:7">
      <c r="A42" s="91" t="s">
        <v>95</v>
      </c>
      <c r="B42" s="43">
        <v>-27000</v>
      </c>
      <c r="C42" s="43">
        <v>0</v>
      </c>
      <c r="E42" s="43">
        <f>+C42+B42</f>
        <v>-27000</v>
      </c>
      <c r="F42" s="32"/>
      <c r="G42" s="32">
        <f>+E42</f>
        <v>-27000</v>
      </c>
    </row>
    <row r="43" spans="1:7">
      <c r="A43" s="11" t="s">
        <v>201</v>
      </c>
      <c r="B43">
        <f>SUM(B40:B42)</f>
        <v>1898000</v>
      </c>
      <c r="C43">
        <f>SUM(C40:C42)</f>
        <v>451000</v>
      </c>
      <c r="E43">
        <f>SUM(E40:E42)</f>
        <v>2349000</v>
      </c>
      <c r="F43" s="32"/>
      <c r="G43" s="32"/>
    </row>
    <row r="44" spans="1:7">
      <c r="A44" s="91" t="s">
        <v>202</v>
      </c>
      <c r="C44">
        <v>-49000</v>
      </c>
      <c r="E44">
        <f>+C44+B44</f>
        <v>-49000</v>
      </c>
      <c r="F44" s="32">
        <f>+E44</f>
        <v>-49000</v>
      </c>
      <c r="G44" s="32"/>
    </row>
    <row r="45" spans="1:7">
      <c r="A45" s="91" t="s">
        <v>95</v>
      </c>
      <c r="B45" s="43">
        <v>-92000</v>
      </c>
      <c r="C45" s="43">
        <v>0</v>
      </c>
      <c r="E45" s="43">
        <f>+C45+B45</f>
        <v>-92000</v>
      </c>
      <c r="F45" s="32"/>
      <c r="G45" s="32">
        <f>+E45</f>
        <v>-92000</v>
      </c>
    </row>
    <row r="46" spans="1:7">
      <c r="A46" s="11" t="s">
        <v>203</v>
      </c>
      <c r="B46">
        <f>SUM(B43:B45)</f>
        <v>1806000</v>
      </c>
      <c r="C46">
        <f>SUM(C43:C45)</f>
        <v>402000</v>
      </c>
      <c r="E46">
        <f>SUM(E43:E45)</f>
        <v>2208000</v>
      </c>
      <c r="F46" s="32"/>
      <c r="G46" s="32"/>
    </row>
    <row r="47" spans="1:7">
      <c r="A47" s="91" t="s">
        <v>204</v>
      </c>
      <c r="C47">
        <v>-64000</v>
      </c>
      <c r="E47">
        <f>+C47+B47</f>
        <v>-64000</v>
      </c>
      <c r="F47" s="32">
        <f>+E47</f>
        <v>-64000</v>
      </c>
      <c r="G47" s="32"/>
    </row>
    <row r="48" spans="1:7">
      <c r="A48" s="91" t="s">
        <v>95</v>
      </c>
      <c r="B48" s="43"/>
      <c r="C48" s="43">
        <v>0</v>
      </c>
      <c r="E48" s="43">
        <f>+C48+B48</f>
        <v>0</v>
      </c>
      <c r="F48" s="32"/>
      <c r="G48" s="32">
        <f>+E48</f>
        <v>0</v>
      </c>
    </row>
    <row r="49" spans="1:7">
      <c r="A49" s="11" t="s">
        <v>205</v>
      </c>
      <c r="B49">
        <f>SUM(B46:B48)</f>
        <v>1806000</v>
      </c>
      <c r="C49">
        <f>SUM(C46:C48)</f>
        <v>338000</v>
      </c>
      <c r="E49">
        <f>SUM(E46:E48)</f>
        <v>2144000</v>
      </c>
      <c r="F49" s="32"/>
      <c r="G49" s="32"/>
    </row>
    <row r="50" spans="1:7">
      <c r="A50" s="91" t="s">
        <v>206</v>
      </c>
      <c r="C50">
        <v>-34000</v>
      </c>
      <c r="E50">
        <f>+C50+B50</f>
        <v>-34000</v>
      </c>
      <c r="F50" s="32">
        <f>+E50</f>
        <v>-34000</v>
      </c>
      <c r="G50" s="32"/>
    </row>
    <row r="51" spans="1:7">
      <c r="A51" s="91" t="s">
        <v>95</v>
      </c>
      <c r="B51" s="43">
        <v>-21000</v>
      </c>
      <c r="C51" s="43">
        <v>0</v>
      </c>
      <c r="E51" s="43">
        <f>+C51+B51</f>
        <v>-21000</v>
      </c>
      <c r="F51" s="32"/>
      <c r="G51" s="32">
        <f>+E51</f>
        <v>-21000</v>
      </c>
    </row>
    <row r="52" spans="1:7">
      <c r="A52" s="11" t="s">
        <v>207</v>
      </c>
      <c r="B52">
        <f>SUM(B49:B51)</f>
        <v>1785000</v>
      </c>
      <c r="C52">
        <f>SUM(C49:C51)</f>
        <v>304000</v>
      </c>
      <c r="E52">
        <f>SUM(E49:E51)</f>
        <v>2089000</v>
      </c>
      <c r="F52" s="32"/>
      <c r="G52" s="32"/>
    </row>
    <row r="53" spans="1:7">
      <c r="A53" s="91" t="s">
        <v>213</v>
      </c>
      <c r="C53">
        <v>0</v>
      </c>
      <c r="E53">
        <f>+C53+B53</f>
        <v>0</v>
      </c>
      <c r="F53" s="32">
        <f>+E53</f>
        <v>0</v>
      </c>
      <c r="G53" s="32"/>
    </row>
    <row r="54" spans="1:7">
      <c r="A54" s="91" t="s">
        <v>95</v>
      </c>
      <c r="B54" s="43">
        <v>-29000</v>
      </c>
      <c r="C54" s="43">
        <v>0</v>
      </c>
      <c r="E54" s="43">
        <f>+C54+B54</f>
        <v>-29000</v>
      </c>
      <c r="F54" s="32"/>
      <c r="G54" s="32">
        <f>+E54</f>
        <v>-29000</v>
      </c>
    </row>
    <row r="55" spans="1:7">
      <c r="A55" s="11" t="s">
        <v>214</v>
      </c>
      <c r="B55">
        <f>SUM(B52:B54)</f>
        <v>1756000</v>
      </c>
      <c r="C55">
        <f>SUM(C52:C54)</f>
        <v>304000</v>
      </c>
      <c r="E55">
        <f>SUM(E52:E54)</f>
        <v>2060000</v>
      </c>
      <c r="F55" s="32"/>
      <c r="G55" s="32"/>
    </row>
    <row r="56" spans="1:7">
      <c r="A56" s="91" t="s">
        <v>224</v>
      </c>
      <c r="C56">
        <v>-250000</v>
      </c>
      <c r="E56">
        <f>+C56+B56</f>
        <v>-250000</v>
      </c>
      <c r="F56" s="32">
        <f>+E56</f>
        <v>-250000</v>
      </c>
      <c r="G56" s="32"/>
    </row>
    <row r="57" spans="1:7">
      <c r="A57" s="91" t="s">
        <v>95</v>
      </c>
      <c r="B57" s="43">
        <v>-6000</v>
      </c>
      <c r="C57" s="43">
        <v>0</v>
      </c>
      <c r="E57" s="43">
        <f>+C57+B57</f>
        <v>-6000</v>
      </c>
      <c r="F57" s="32"/>
      <c r="G57" s="32">
        <f>+E57</f>
        <v>-6000</v>
      </c>
    </row>
    <row r="58" spans="1:7">
      <c r="A58" s="11" t="s">
        <v>225</v>
      </c>
      <c r="B58">
        <f>SUM(B55:B57)</f>
        <v>1750000</v>
      </c>
      <c r="C58">
        <f>SUM(C55:C57)</f>
        <v>54000</v>
      </c>
      <c r="E58">
        <f>SUM(E55:E57)</f>
        <v>1804000</v>
      </c>
      <c r="F58" s="32"/>
      <c r="G58" s="32"/>
    </row>
    <row r="59" spans="1:7">
      <c r="A59" s="91" t="s">
        <v>227</v>
      </c>
      <c r="C59">
        <v>-14000</v>
      </c>
      <c r="E59">
        <f>+C59+B59</f>
        <v>-14000</v>
      </c>
      <c r="F59" s="32">
        <f>+E59</f>
        <v>-14000</v>
      </c>
      <c r="G59" s="32"/>
    </row>
    <row r="60" spans="1:7">
      <c r="A60" s="91" t="s">
        <v>95</v>
      </c>
      <c r="B60" s="43">
        <v>-59000</v>
      </c>
      <c r="C60" s="43">
        <v>0</v>
      </c>
      <c r="E60" s="43">
        <f>+C60+B60</f>
        <v>-59000</v>
      </c>
      <c r="F60" s="32"/>
      <c r="G60" s="32">
        <f>+E60</f>
        <v>-59000</v>
      </c>
    </row>
    <row r="61" spans="1:7">
      <c r="A61" s="11" t="s">
        <v>228</v>
      </c>
      <c r="B61">
        <f>SUM(B58:B60)</f>
        <v>1691000</v>
      </c>
      <c r="C61">
        <f>SUM(C58:C60)</f>
        <v>40000</v>
      </c>
      <c r="E61">
        <f>SUM(E58:E60)</f>
        <v>1731000</v>
      </c>
      <c r="F61" s="32"/>
      <c r="G61" s="32"/>
    </row>
    <row r="62" spans="1:7">
      <c r="A62" s="91" t="s">
        <v>229</v>
      </c>
      <c r="C62">
        <v>0</v>
      </c>
      <c r="E62">
        <f>+C62+B62</f>
        <v>0</v>
      </c>
      <c r="F62" s="32">
        <f>+E62</f>
        <v>0</v>
      </c>
      <c r="G62" s="32"/>
    </row>
    <row r="63" spans="1:7">
      <c r="A63" s="91" t="s">
        <v>95</v>
      </c>
      <c r="B63" s="43">
        <v>0</v>
      </c>
      <c r="C63" s="43">
        <v>0</v>
      </c>
      <c r="E63" s="43">
        <f>+C63+B63</f>
        <v>0</v>
      </c>
      <c r="F63" s="32"/>
      <c r="G63" s="32">
        <f>+E63</f>
        <v>0</v>
      </c>
    </row>
    <row r="64" spans="1:7">
      <c r="A64" s="11" t="s">
        <v>230</v>
      </c>
      <c r="B64">
        <f>SUM(B61:B63)</f>
        <v>1691000</v>
      </c>
      <c r="C64">
        <f>SUM(C61:C63)</f>
        <v>40000</v>
      </c>
      <c r="E64">
        <f>SUM(E61:E63)</f>
        <v>1731000</v>
      </c>
      <c r="F64" s="32"/>
      <c r="G64" s="32"/>
    </row>
    <row r="65" spans="1:7">
      <c r="A65" s="91" t="s">
        <v>237</v>
      </c>
      <c r="C65">
        <v>-2000</v>
      </c>
      <c r="E65">
        <f>+C65+B65</f>
        <v>-2000</v>
      </c>
      <c r="F65" s="32">
        <f>+E65</f>
        <v>-2000</v>
      </c>
      <c r="G65" s="32"/>
    </row>
    <row r="66" spans="1:7">
      <c r="A66" s="91" t="s">
        <v>95</v>
      </c>
      <c r="B66" s="43">
        <v>-7000</v>
      </c>
      <c r="C66" s="43">
        <v>0</v>
      </c>
      <c r="E66" s="43">
        <f>+C66+B66</f>
        <v>-7000</v>
      </c>
      <c r="F66" s="32"/>
      <c r="G66" s="32">
        <f>+E66</f>
        <v>-7000</v>
      </c>
    </row>
    <row r="67" spans="1:7">
      <c r="A67" s="11" t="s">
        <v>238</v>
      </c>
      <c r="B67">
        <f>SUM(B64:B66)</f>
        <v>1684000</v>
      </c>
      <c r="C67">
        <f>SUM(C64:C66)</f>
        <v>38000</v>
      </c>
      <c r="E67">
        <f>SUM(E64:E66)</f>
        <v>1722000</v>
      </c>
      <c r="F67" s="32"/>
      <c r="G67" s="32"/>
    </row>
    <row r="68" spans="1:7">
      <c r="A68" s="91" t="s">
        <v>239</v>
      </c>
      <c r="C68">
        <v>0</v>
      </c>
      <c r="E68">
        <f>+C68+B68</f>
        <v>0</v>
      </c>
      <c r="F68" s="32">
        <f>+E68</f>
        <v>0</v>
      </c>
      <c r="G68" s="32"/>
    </row>
    <row r="69" spans="1:7">
      <c r="A69" s="91" t="s">
        <v>95</v>
      </c>
      <c r="B69" s="43">
        <v>-121000</v>
      </c>
      <c r="C69" s="43">
        <v>0</v>
      </c>
      <c r="E69" s="43">
        <f>+C69+B69</f>
        <v>-121000</v>
      </c>
      <c r="F69" s="32"/>
      <c r="G69" s="32">
        <f>+E69</f>
        <v>-121000</v>
      </c>
    </row>
    <row r="70" spans="1:7">
      <c r="A70" s="11" t="s">
        <v>240</v>
      </c>
      <c r="B70">
        <f>SUM(B67:B69)</f>
        <v>1563000</v>
      </c>
      <c r="C70">
        <f>SUM(C67:C69)</f>
        <v>38000</v>
      </c>
      <c r="E70">
        <f>SUM(E67:E69)</f>
        <v>1601000</v>
      </c>
      <c r="F70" s="32"/>
      <c r="G70" s="32"/>
    </row>
    <row r="71" spans="1:7">
      <c r="A71" s="91" t="s">
        <v>241</v>
      </c>
      <c r="C71">
        <v>0</v>
      </c>
      <c r="E71">
        <f>+C71+B71</f>
        <v>0</v>
      </c>
      <c r="F71" s="32">
        <f>+E71</f>
        <v>0</v>
      </c>
      <c r="G71" s="32"/>
    </row>
    <row r="72" spans="1:7">
      <c r="A72" s="91" t="s">
        <v>95</v>
      </c>
      <c r="B72" s="43">
        <v>-18000</v>
      </c>
      <c r="C72" s="43">
        <v>0</v>
      </c>
      <c r="E72" s="43">
        <f>+C72+B72</f>
        <v>-18000</v>
      </c>
      <c r="F72" s="32"/>
      <c r="G72" s="32">
        <f>+E72</f>
        <v>-18000</v>
      </c>
    </row>
    <row r="73" spans="1:7">
      <c r="A73" s="11" t="s">
        <v>242</v>
      </c>
      <c r="B73">
        <f>SUM(B70:B72)</f>
        <v>1545000</v>
      </c>
      <c r="C73">
        <f>SUM(C70:C72)</f>
        <v>38000</v>
      </c>
      <c r="E73">
        <f>SUM(E70:E72)</f>
        <v>1583000</v>
      </c>
      <c r="F73" s="32"/>
      <c r="G73" s="32"/>
    </row>
    <row r="74" spans="1:7">
      <c r="A74" s="91" t="s">
        <v>245</v>
      </c>
      <c r="C74">
        <v>0</v>
      </c>
      <c r="E74">
        <f>+C74+B74</f>
        <v>0</v>
      </c>
      <c r="F74" s="32">
        <f>+E74</f>
        <v>0</v>
      </c>
      <c r="G74" s="32"/>
    </row>
    <row r="75" spans="1:7">
      <c r="A75" s="91" t="s">
        <v>95</v>
      </c>
      <c r="B75" s="43">
        <v>-46000</v>
      </c>
      <c r="C75" s="43">
        <v>-21000</v>
      </c>
      <c r="E75" s="43">
        <f>+C75+B75</f>
        <v>-67000</v>
      </c>
      <c r="F75" s="32"/>
      <c r="G75" s="32">
        <f>+E75</f>
        <v>-67000</v>
      </c>
    </row>
    <row r="76" spans="1:7">
      <c r="A76" s="11" t="s">
        <v>246</v>
      </c>
      <c r="B76">
        <f>SUM(B73:B75)</f>
        <v>1499000</v>
      </c>
      <c r="C76">
        <f>SUM(C73:C75)</f>
        <v>17000</v>
      </c>
      <c r="E76">
        <f>SUM(E73:E75)</f>
        <v>1516000</v>
      </c>
      <c r="F76" s="32"/>
      <c r="G76" s="32"/>
    </row>
    <row r="77" spans="1:7">
      <c r="A77" s="91" t="s">
        <v>247</v>
      </c>
      <c r="C77">
        <v>0</v>
      </c>
      <c r="E77">
        <f>+C77+B77</f>
        <v>0</v>
      </c>
      <c r="F77" s="32">
        <f>+E77</f>
        <v>0</v>
      </c>
      <c r="G77" s="32"/>
    </row>
    <row r="78" spans="1:7">
      <c r="A78" s="91" t="s">
        <v>95</v>
      </c>
      <c r="B78" s="43">
        <v>-17000</v>
      </c>
      <c r="C78" s="43">
        <v>0</v>
      </c>
      <c r="E78" s="43">
        <f>+C78+B78</f>
        <v>-17000</v>
      </c>
      <c r="F78" s="32"/>
      <c r="G78" s="32">
        <f>+E78</f>
        <v>-17000</v>
      </c>
    </row>
    <row r="79" spans="1:7">
      <c r="A79" s="11" t="s">
        <v>248</v>
      </c>
      <c r="B79">
        <f>SUM(B76:B78)</f>
        <v>1482000</v>
      </c>
      <c r="C79">
        <f>SUM(C76:C78)</f>
        <v>17000</v>
      </c>
      <c r="E79">
        <f>SUM(E76:E78)</f>
        <v>1499000</v>
      </c>
      <c r="F79" s="32"/>
      <c r="G79" s="32"/>
    </row>
    <row r="80" spans="1:7">
      <c r="A80" s="91" t="s">
        <v>273</v>
      </c>
      <c r="C80">
        <v>0</v>
      </c>
      <c r="E80">
        <f>+C80+B80</f>
        <v>0</v>
      </c>
      <c r="F80" s="32">
        <f>+E80</f>
        <v>0</v>
      </c>
      <c r="G80" s="32"/>
    </row>
    <row r="81" spans="1:8">
      <c r="A81" s="91" t="s">
        <v>95</v>
      </c>
      <c r="B81" s="43">
        <v>-22000</v>
      </c>
      <c r="C81" s="43">
        <v>0</v>
      </c>
      <c r="E81" s="43">
        <f>+C81+B81</f>
        <v>-22000</v>
      </c>
      <c r="F81" s="32"/>
      <c r="G81" s="32">
        <f>+E81</f>
        <v>-22000</v>
      </c>
    </row>
    <row r="82" spans="1:8">
      <c r="A82" s="11" t="s">
        <v>274</v>
      </c>
      <c r="B82">
        <f>SUM(B79:B81)</f>
        <v>1460000</v>
      </c>
      <c r="C82">
        <f>SUM(C79:C81)</f>
        <v>17000</v>
      </c>
      <c r="E82">
        <f>SUM(E79:E81)</f>
        <v>1477000</v>
      </c>
      <c r="F82" s="32"/>
      <c r="G82" s="32"/>
    </row>
    <row r="83" spans="1:8">
      <c r="A83" s="91" t="s">
        <v>277</v>
      </c>
      <c r="C83">
        <v>0</v>
      </c>
      <c r="E83">
        <f>+C83+B83</f>
        <v>0</v>
      </c>
      <c r="F83" s="32">
        <f>+E83</f>
        <v>0</v>
      </c>
      <c r="G83" s="32"/>
    </row>
    <row r="84" spans="1:8">
      <c r="A84" s="91" t="s">
        <v>95</v>
      </c>
      <c r="B84" s="43">
        <v>-13000</v>
      </c>
      <c r="C84" s="43">
        <v>0</v>
      </c>
      <c r="E84" s="43">
        <f>+C84+B84</f>
        <v>-13000</v>
      </c>
      <c r="F84" s="32"/>
      <c r="G84" s="32">
        <f>+E84</f>
        <v>-13000</v>
      </c>
    </row>
    <row r="85" spans="1:8">
      <c r="A85" s="11" t="s">
        <v>278</v>
      </c>
      <c r="B85">
        <f>SUM(B82:B84)</f>
        <v>1447000</v>
      </c>
      <c r="C85">
        <f>SUM(C82:C84)</f>
        <v>17000</v>
      </c>
      <c r="E85">
        <f>SUM(E82:E84)</f>
        <v>1464000</v>
      </c>
      <c r="F85" s="32"/>
      <c r="G85" s="32"/>
    </row>
    <row r="86" spans="1:8">
      <c r="A86" s="91" t="s">
        <v>280</v>
      </c>
      <c r="C86">
        <v>0</v>
      </c>
      <c r="E86">
        <f>+C86+B86</f>
        <v>0</v>
      </c>
      <c r="F86" s="32">
        <f>+E86</f>
        <v>0</v>
      </c>
      <c r="G86" s="32"/>
    </row>
    <row r="87" spans="1:8">
      <c r="A87" s="91" t="s">
        <v>95</v>
      </c>
      <c r="B87" s="43">
        <v>-20000</v>
      </c>
      <c r="C87" s="43">
        <v>0</v>
      </c>
      <c r="E87" s="43">
        <f>+C87+B87</f>
        <v>-20000</v>
      </c>
      <c r="F87" s="32"/>
      <c r="G87" s="32">
        <f>+E87</f>
        <v>-20000</v>
      </c>
    </row>
    <row r="88" spans="1:8">
      <c r="A88" s="11" t="s">
        <v>281</v>
      </c>
      <c r="B88">
        <f>SUM(B85:B87)</f>
        <v>1427000</v>
      </c>
      <c r="C88">
        <f>SUM(C85:C87)</f>
        <v>17000</v>
      </c>
      <c r="E88">
        <f>SUM(E85:E87)</f>
        <v>1444000</v>
      </c>
      <c r="F88" s="32"/>
      <c r="G88" s="32"/>
      <c r="H88" s="32"/>
    </row>
    <row r="89" spans="1:8">
      <c r="A89" s="189" t="s">
        <v>282</v>
      </c>
      <c r="C89">
        <v>0</v>
      </c>
      <c r="E89">
        <f>+C89+B89</f>
        <v>0</v>
      </c>
      <c r="F89" s="32">
        <f>+E89</f>
        <v>0</v>
      </c>
      <c r="G89" s="32"/>
    </row>
    <row r="90" spans="1:8">
      <c r="A90" s="91" t="s">
        <v>95</v>
      </c>
      <c r="B90" s="43">
        <v>-26000</v>
      </c>
      <c r="C90" s="43">
        <v>0</v>
      </c>
      <c r="E90" s="43">
        <f>+C90+B90</f>
        <v>-26000</v>
      </c>
      <c r="F90" s="32"/>
      <c r="G90" s="32">
        <f>+E90</f>
        <v>-26000</v>
      </c>
    </row>
    <row r="91" spans="1:8">
      <c r="A91" s="11" t="s">
        <v>283</v>
      </c>
      <c r="B91">
        <f>SUM(B88:B90)</f>
        <v>1401000</v>
      </c>
      <c r="C91">
        <f>SUM(C88:C90)</f>
        <v>17000</v>
      </c>
      <c r="E91">
        <f>SUM(E88:E90)</f>
        <v>1418000</v>
      </c>
      <c r="F91" s="32"/>
      <c r="G91" s="32"/>
    </row>
    <row r="92" spans="1:8">
      <c r="A92" s="91" t="s">
        <v>293</v>
      </c>
      <c r="C92">
        <v>0</v>
      </c>
      <c r="E92">
        <f>+C92+B92</f>
        <v>0</v>
      </c>
      <c r="F92" s="32">
        <f>+E92</f>
        <v>0</v>
      </c>
      <c r="G92" s="32"/>
    </row>
    <row r="93" spans="1:8">
      <c r="A93" s="91" t="s">
        <v>95</v>
      </c>
      <c r="B93" s="43">
        <v>-13000</v>
      </c>
      <c r="C93" s="43">
        <v>0</v>
      </c>
      <c r="E93" s="43">
        <f>+C93+B93</f>
        <v>-13000</v>
      </c>
      <c r="F93" s="32"/>
      <c r="G93" s="32">
        <f>+E93</f>
        <v>-13000</v>
      </c>
    </row>
    <row r="94" spans="1:8">
      <c r="A94" s="11" t="s">
        <v>294</v>
      </c>
      <c r="B94">
        <f>SUM(B91:B93)</f>
        <v>1388000</v>
      </c>
      <c r="C94">
        <f>SUM(C91:C93)</f>
        <v>17000</v>
      </c>
      <c r="E94">
        <f>SUM(E91:E93)</f>
        <v>1405000</v>
      </c>
      <c r="F94" s="32"/>
      <c r="G94" s="32"/>
    </row>
    <row r="95" spans="1:8">
      <c r="A95" s="91" t="s">
        <v>295</v>
      </c>
      <c r="C95">
        <v>0</v>
      </c>
      <c r="E95">
        <f>+C95+B95</f>
        <v>0</v>
      </c>
      <c r="F95" s="32">
        <f>+E95</f>
        <v>0</v>
      </c>
      <c r="G95" s="32"/>
    </row>
    <row r="96" spans="1:8">
      <c r="A96" s="91" t="s">
        <v>95</v>
      </c>
      <c r="B96" s="43">
        <v>-8000</v>
      </c>
      <c r="C96" s="43">
        <v>0</v>
      </c>
      <c r="E96" s="43">
        <f>+C96+B96</f>
        <v>-8000</v>
      </c>
      <c r="F96" s="32"/>
      <c r="G96" s="32">
        <f>+E96</f>
        <v>-8000</v>
      </c>
    </row>
    <row r="97" spans="1:8">
      <c r="A97" s="11" t="s">
        <v>296</v>
      </c>
      <c r="B97">
        <f>SUM(B94:B96)</f>
        <v>1380000</v>
      </c>
      <c r="C97">
        <f>SUM(C94:C96)</f>
        <v>17000</v>
      </c>
      <c r="E97">
        <f>SUM(E94:E96)</f>
        <v>1397000</v>
      </c>
      <c r="F97" s="32"/>
      <c r="G97" s="32"/>
      <c r="H97" s="32"/>
    </row>
    <row r="98" spans="1:8">
      <c r="A98" s="91" t="s">
        <v>297</v>
      </c>
      <c r="C98">
        <v>0</v>
      </c>
      <c r="E98">
        <f>+C98+B98</f>
        <v>0</v>
      </c>
      <c r="F98" s="32">
        <f>+E98</f>
        <v>0</v>
      </c>
      <c r="G98" s="32"/>
    </row>
    <row r="99" spans="1:8">
      <c r="A99" s="91" t="s">
        <v>95</v>
      </c>
      <c r="B99" s="43"/>
      <c r="C99" s="43">
        <v>0</v>
      </c>
      <c r="E99" s="43">
        <f>+C99+B99</f>
        <v>0</v>
      </c>
      <c r="F99" s="32"/>
      <c r="G99" s="32">
        <f>+E99</f>
        <v>0</v>
      </c>
    </row>
    <row r="100" spans="1:8">
      <c r="A100" s="11" t="s">
        <v>298</v>
      </c>
      <c r="B100">
        <f>SUM(B97:B99)</f>
        <v>1380000</v>
      </c>
      <c r="C100">
        <f>SUM(C97:C99)</f>
        <v>17000</v>
      </c>
      <c r="E100">
        <f>SUM(E97:E99)</f>
        <v>1397000</v>
      </c>
      <c r="F100" s="32"/>
      <c r="G100" s="32"/>
    </row>
    <row r="101" spans="1:8">
      <c r="A101" s="91" t="s">
        <v>299</v>
      </c>
      <c r="C101">
        <v>0</v>
      </c>
      <c r="E101">
        <f>+C101+B101</f>
        <v>0</v>
      </c>
      <c r="F101" s="32">
        <f>+E101</f>
        <v>0</v>
      </c>
      <c r="G101" s="32"/>
    </row>
    <row r="102" spans="1:8">
      <c r="A102" s="91" t="s">
        <v>95</v>
      </c>
      <c r="B102" s="43">
        <v>-19000</v>
      </c>
      <c r="C102" s="43">
        <v>0</v>
      </c>
      <c r="E102" s="43">
        <f>+C102+B102</f>
        <v>-19000</v>
      </c>
      <c r="F102" s="32"/>
      <c r="G102" s="32">
        <f>+E102</f>
        <v>-19000</v>
      </c>
    </row>
    <row r="103" spans="1:8">
      <c r="A103" s="11" t="s">
        <v>300</v>
      </c>
      <c r="B103">
        <f>SUM(B100:B102)</f>
        <v>1361000</v>
      </c>
      <c r="C103">
        <f>SUM(C100:C102)</f>
        <v>17000</v>
      </c>
      <c r="E103">
        <f>SUM(E100:E102)</f>
        <v>1378000</v>
      </c>
      <c r="F103" s="167">
        <f>SUM(F7:F102)</f>
        <v>-2069000</v>
      </c>
      <c r="G103" s="168">
        <f>SUM(G7:G102)</f>
        <v>-4670000</v>
      </c>
    </row>
  </sheetData>
  <phoneticPr fontId="0" type="noConversion"/>
  <pageMargins left="0.75" right="0.75" top="1" bottom="1" header="0.5" footer="0.5"/>
  <pageSetup scale="50" orientation="portrait" horizontalDpi="1200" verticalDpi="1200" r:id="rId1"/>
  <headerFooter alignWithMargins="0">
    <oddFooter>&amp;L&amp;D&amp;F&amp;A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 enableFormatConditionsCalculation="0">
    <tabColor rgb="FF0070C0"/>
  </sheetPr>
  <dimension ref="A3:AU17"/>
  <sheetViews>
    <sheetView topLeftCell="AD1" workbookViewId="0">
      <selection activeCell="AV3" sqref="AV3"/>
    </sheetView>
  </sheetViews>
  <sheetFormatPr defaultRowHeight="12.75"/>
  <cols>
    <col min="6" max="6" width="10.140625" bestFit="1" customWidth="1"/>
    <col min="7" max="7" width="3.7109375" customWidth="1"/>
    <col min="13" max="13" width="3.7109375" customWidth="1"/>
    <col min="19" max="19" width="3.7109375" customWidth="1"/>
    <col min="25" max="25" width="3.7109375" customWidth="1"/>
  </cols>
  <sheetData>
    <row r="3" spans="1:47">
      <c r="A3" s="32"/>
      <c r="B3" s="32"/>
      <c r="C3" s="32"/>
      <c r="D3" s="32"/>
      <c r="E3" s="32"/>
      <c r="F3" s="32"/>
      <c r="G3" s="32"/>
      <c r="H3" s="32"/>
      <c r="I3" s="32"/>
    </row>
    <row r="4" spans="1:47">
      <c r="A4" s="44" t="s">
        <v>141</v>
      </c>
      <c r="B4" s="44"/>
      <c r="C4" s="44"/>
      <c r="D4" s="44"/>
      <c r="E4" s="44"/>
      <c r="F4" s="44"/>
      <c r="G4" s="32"/>
      <c r="H4" s="32"/>
      <c r="I4" s="32"/>
    </row>
    <row r="5" spans="1:47">
      <c r="A5" s="44"/>
      <c r="B5" s="49" t="s">
        <v>12</v>
      </c>
      <c r="C5" s="49" t="s">
        <v>11</v>
      </c>
      <c r="D5" s="49" t="s">
        <v>10</v>
      </c>
      <c r="E5" s="49" t="s">
        <v>9</v>
      </c>
      <c r="F5" s="44" t="s">
        <v>136</v>
      </c>
      <c r="G5" s="32"/>
      <c r="H5" s="165" t="s">
        <v>132</v>
      </c>
      <c r="I5" s="165" t="s">
        <v>133</v>
      </c>
      <c r="J5" s="165" t="s">
        <v>134</v>
      </c>
      <c r="K5" s="165" t="s">
        <v>135</v>
      </c>
      <c r="L5" s="44" t="s">
        <v>175</v>
      </c>
      <c r="N5" s="165" t="s">
        <v>195</v>
      </c>
      <c r="O5" s="165" t="s">
        <v>196</v>
      </c>
      <c r="P5" s="165" t="s">
        <v>197</v>
      </c>
      <c r="Q5" s="165" t="s">
        <v>198</v>
      </c>
      <c r="R5" s="44" t="s">
        <v>199</v>
      </c>
      <c r="T5" s="165" t="s">
        <v>208</v>
      </c>
      <c r="U5" s="165" t="s">
        <v>209</v>
      </c>
      <c r="V5" s="165" t="s">
        <v>210</v>
      </c>
      <c r="W5" s="165" t="s">
        <v>211</v>
      </c>
      <c r="X5" s="44" t="s">
        <v>212</v>
      </c>
      <c r="Z5" s="165" t="s">
        <v>231</v>
      </c>
      <c r="AA5" s="165" t="s">
        <v>232</v>
      </c>
      <c r="AB5" s="165" t="s">
        <v>233</v>
      </c>
      <c r="AC5" s="165" t="s">
        <v>234</v>
      </c>
      <c r="AD5" s="44" t="s">
        <v>236</v>
      </c>
      <c r="AF5" s="165" t="s">
        <v>244</v>
      </c>
      <c r="AG5" s="165"/>
      <c r="AH5" s="165" t="s">
        <v>249</v>
      </c>
      <c r="AI5" s="165" t="s">
        <v>250</v>
      </c>
      <c r="AJ5" s="165" t="s">
        <v>251</v>
      </c>
      <c r="AK5" s="165" t="s">
        <v>252</v>
      </c>
      <c r="AL5" s="44" t="s">
        <v>253</v>
      </c>
      <c r="AN5" s="165" t="s">
        <v>285</v>
      </c>
      <c r="AO5" s="165" t="s">
        <v>286</v>
      </c>
      <c r="AP5" s="165" t="s">
        <v>287</v>
      </c>
      <c r="AQ5" s="165" t="s">
        <v>288</v>
      </c>
      <c r="AR5" s="44" t="s">
        <v>289</v>
      </c>
      <c r="AT5" s="165" t="s">
        <v>301</v>
      </c>
      <c r="AU5" s="165" t="s">
        <v>308</v>
      </c>
    </row>
    <row r="6" spans="1:47">
      <c r="A6" s="32"/>
      <c r="B6" s="32"/>
      <c r="C6" s="32"/>
      <c r="D6" s="32"/>
      <c r="E6" s="32"/>
      <c r="F6" s="32"/>
      <c r="G6" s="32"/>
      <c r="H6" s="44"/>
      <c r="I6" s="44"/>
      <c r="J6" s="44"/>
      <c r="K6" s="44"/>
      <c r="L6" s="32"/>
      <c r="N6" s="44"/>
      <c r="O6" s="44"/>
      <c r="P6" s="44"/>
      <c r="Q6" s="44"/>
      <c r="R6" s="32"/>
      <c r="T6" s="44"/>
      <c r="U6" s="44"/>
      <c r="V6" s="44"/>
      <c r="W6" s="44"/>
      <c r="X6" s="32"/>
      <c r="Z6" s="44"/>
      <c r="AA6" s="44"/>
      <c r="AB6" s="44"/>
      <c r="AC6" s="44"/>
      <c r="AD6" s="32"/>
      <c r="AF6" s="44"/>
      <c r="AG6" s="44"/>
      <c r="AH6" s="44"/>
      <c r="AI6" s="44"/>
      <c r="AJ6" s="44"/>
      <c r="AK6" s="44"/>
      <c r="AL6" s="32"/>
      <c r="AN6" s="44"/>
      <c r="AO6" s="44"/>
      <c r="AP6" s="44"/>
      <c r="AQ6" s="44"/>
      <c r="AR6" s="32"/>
      <c r="AT6" s="44"/>
      <c r="AU6" s="44"/>
    </row>
    <row r="7" spans="1:47">
      <c r="A7" s="15" t="s">
        <v>14</v>
      </c>
      <c r="B7" s="15">
        <v>230</v>
      </c>
      <c r="C7" s="15">
        <v>251</v>
      </c>
      <c r="D7" s="15">
        <v>165</v>
      </c>
      <c r="E7" s="15">
        <v>176</v>
      </c>
      <c r="F7" s="15">
        <f>SUM(B7:E7)</f>
        <v>822</v>
      </c>
      <c r="G7" s="32"/>
      <c r="H7" s="44">
        <v>309</v>
      </c>
      <c r="I7" s="44">
        <v>285</v>
      </c>
      <c r="J7" s="44">
        <v>261</v>
      </c>
      <c r="K7" s="44">
        <v>229</v>
      </c>
      <c r="L7" s="44">
        <f>SUM(H7:K7)</f>
        <v>1084</v>
      </c>
      <c r="N7" s="44">
        <f>101+105+104</f>
        <v>310</v>
      </c>
      <c r="O7" s="44">
        <f>134-10+118+116</f>
        <v>358</v>
      </c>
      <c r="P7" s="44">
        <f>90+36+91</f>
        <v>217</v>
      </c>
      <c r="Q7" s="44">
        <v>80</v>
      </c>
      <c r="R7" s="44">
        <f>SUM(N7:Q7)</f>
        <v>965</v>
      </c>
      <c r="T7" s="44">
        <v>124</v>
      </c>
      <c r="U7" s="44">
        <v>889</v>
      </c>
      <c r="V7" s="44">
        <v>439</v>
      </c>
      <c r="W7" s="44">
        <v>207</v>
      </c>
      <c r="X7" s="44">
        <f>SUM(T7:W7)</f>
        <v>1659</v>
      </c>
      <c r="Z7" s="44">
        <v>0</v>
      </c>
      <c r="AA7" s="44">
        <v>361</v>
      </c>
      <c r="AB7" s="44">
        <f>509-AA7</f>
        <v>148</v>
      </c>
      <c r="AC7" s="44">
        <v>0</v>
      </c>
      <c r="AD7" s="44">
        <f>SUM(Z7:AC7)</f>
        <v>509</v>
      </c>
      <c r="AF7" s="44">
        <v>0</v>
      </c>
      <c r="AG7" s="44"/>
      <c r="AH7" s="44">
        <v>0</v>
      </c>
      <c r="AI7" s="44">
        <v>0</v>
      </c>
      <c r="AJ7" s="44">
        <v>0</v>
      </c>
      <c r="AK7" s="44">
        <v>0</v>
      </c>
      <c r="AL7" s="44">
        <f>SUM(AH7:AK7)</f>
        <v>0</v>
      </c>
      <c r="AN7" s="44">
        <v>0</v>
      </c>
      <c r="AO7" s="44">
        <v>0</v>
      </c>
      <c r="AP7" s="44">
        <v>0</v>
      </c>
      <c r="AQ7" s="44">
        <v>0</v>
      </c>
      <c r="AR7" s="44">
        <f>SUM(AN7:AQ7)</f>
        <v>0</v>
      </c>
      <c r="AT7" s="44">
        <v>0</v>
      </c>
      <c r="AU7" s="44">
        <v>0</v>
      </c>
    </row>
    <row r="8" spans="1:47">
      <c r="A8" s="15"/>
      <c r="B8" s="15"/>
      <c r="C8" s="15"/>
      <c r="D8" s="15"/>
      <c r="E8" s="15"/>
      <c r="F8" s="15"/>
      <c r="G8" s="32"/>
      <c r="H8" s="44"/>
      <c r="I8" s="44"/>
      <c r="J8" s="44"/>
      <c r="K8" s="44"/>
      <c r="L8" s="44"/>
      <c r="N8" s="44"/>
      <c r="O8" s="44"/>
      <c r="P8" s="44"/>
      <c r="Q8" s="44"/>
      <c r="R8" s="44"/>
      <c r="T8" s="44"/>
      <c r="U8" s="44"/>
      <c r="V8" s="44"/>
      <c r="W8" s="44"/>
      <c r="X8" s="44"/>
      <c r="Z8" s="44"/>
      <c r="AA8" s="44"/>
      <c r="AB8" s="44"/>
      <c r="AC8" s="44"/>
      <c r="AD8" s="44"/>
      <c r="AF8" s="44"/>
      <c r="AG8" s="44"/>
      <c r="AH8" s="44"/>
      <c r="AI8" s="44"/>
      <c r="AJ8" s="44"/>
      <c r="AK8" s="44"/>
      <c r="AL8" s="44"/>
      <c r="AN8" s="44"/>
      <c r="AO8" s="44"/>
      <c r="AP8" s="44"/>
      <c r="AQ8" s="44"/>
      <c r="AR8" s="44"/>
      <c r="AT8" s="44"/>
      <c r="AU8" s="44"/>
    </row>
    <row r="9" spans="1:47">
      <c r="A9" s="15" t="s">
        <v>5</v>
      </c>
      <c r="B9" s="15">
        <v>1014</v>
      </c>
      <c r="C9" s="15">
        <v>1105</v>
      </c>
      <c r="D9" s="15">
        <v>733</v>
      </c>
      <c r="E9" s="15">
        <v>821</v>
      </c>
      <c r="F9" s="15">
        <f>SUM(B9:E9)</f>
        <v>3673</v>
      </c>
      <c r="G9" s="32"/>
      <c r="H9" s="44">
        <v>1542</v>
      </c>
      <c r="I9" s="44">
        <v>1442</v>
      </c>
      <c r="J9" s="104">
        <f>899+468</f>
        <v>1367</v>
      </c>
      <c r="K9" s="44">
        <v>1303</v>
      </c>
      <c r="L9" s="44">
        <f>SUM(H9:K9)</f>
        <v>5654</v>
      </c>
      <c r="N9" s="44">
        <f>596+615+625</f>
        <v>1836</v>
      </c>
      <c r="O9" s="44">
        <f>784+713+677</f>
        <v>2174</v>
      </c>
      <c r="P9" s="44">
        <f>1295</f>
        <v>1295</v>
      </c>
      <c r="Q9" s="44">
        <v>555</v>
      </c>
      <c r="R9" s="44">
        <f>SUM(N9:Q9)</f>
        <v>5860</v>
      </c>
      <c r="T9" s="44">
        <v>946</v>
      </c>
      <c r="U9" s="44">
        <f>7823-946</f>
        <v>6877</v>
      </c>
      <c r="V9" s="44">
        <f>11287-946-6877</f>
        <v>3464</v>
      </c>
      <c r="W9" s="44">
        <f>12918-946-6877-3464</f>
        <v>1631</v>
      </c>
      <c r="X9" s="44">
        <f>SUM(T9:W9)</f>
        <v>12918</v>
      </c>
      <c r="Z9" s="44">
        <v>0</v>
      </c>
      <c r="AA9" s="44">
        <v>2888</v>
      </c>
      <c r="AB9" s="44">
        <f>4075-AA9</f>
        <v>1187</v>
      </c>
      <c r="AC9" s="44">
        <v>0</v>
      </c>
      <c r="AD9" s="44">
        <f>SUM(Z9:AC9)</f>
        <v>4075</v>
      </c>
      <c r="AF9" s="44">
        <v>0</v>
      </c>
      <c r="AG9" s="44"/>
      <c r="AH9" s="44">
        <v>0</v>
      </c>
      <c r="AI9" s="44">
        <v>0</v>
      </c>
      <c r="AJ9" s="44">
        <v>0</v>
      </c>
      <c r="AK9" s="44">
        <v>0</v>
      </c>
      <c r="AL9" s="44">
        <f>SUM(AH9:AK9)</f>
        <v>0</v>
      </c>
      <c r="AN9" s="44">
        <v>0</v>
      </c>
      <c r="AO9" s="44">
        <v>0</v>
      </c>
      <c r="AP9" s="44">
        <v>0</v>
      </c>
      <c r="AQ9" s="44">
        <v>0</v>
      </c>
      <c r="AR9" s="44">
        <f>SUM(AN9:AQ9)</f>
        <v>0</v>
      </c>
      <c r="AT9" s="44">
        <v>0</v>
      </c>
      <c r="AU9" s="44">
        <v>0</v>
      </c>
    </row>
    <row r="10" spans="1:47">
      <c r="A10" s="32"/>
      <c r="B10" s="32"/>
      <c r="C10" s="32"/>
      <c r="D10" s="32"/>
      <c r="E10" s="32"/>
      <c r="F10" s="32"/>
      <c r="G10" s="32"/>
      <c r="H10" s="32"/>
      <c r="I10" s="32"/>
    </row>
    <row r="11" spans="1:47">
      <c r="A11" s="32"/>
      <c r="B11" s="32"/>
      <c r="C11" s="32"/>
      <c r="D11" s="32"/>
      <c r="E11" s="32"/>
      <c r="F11" s="32"/>
      <c r="G11" s="32"/>
      <c r="H11" s="32"/>
      <c r="I11" s="32"/>
      <c r="AA11" s="13"/>
      <c r="AI11" s="13"/>
      <c r="AO11" s="13"/>
    </row>
    <row r="12" spans="1:47">
      <c r="A12" s="32"/>
      <c r="B12" s="32"/>
      <c r="C12" s="32"/>
      <c r="D12" s="32"/>
      <c r="E12" s="32"/>
      <c r="F12" s="32"/>
      <c r="G12" s="32"/>
      <c r="H12" s="32"/>
      <c r="I12" s="32"/>
    </row>
    <row r="13" spans="1:47">
      <c r="A13" s="32"/>
      <c r="B13" s="32"/>
      <c r="C13" s="32"/>
      <c r="D13" s="32"/>
      <c r="E13" s="32"/>
      <c r="F13" s="32"/>
      <c r="G13" s="32"/>
      <c r="H13" s="32"/>
      <c r="I13" s="32"/>
    </row>
    <row r="14" spans="1:47">
      <c r="A14" s="32"/>
      <c r="B14" s="32"/>
      <c r="C14" s="32"/>
      <c r="D14" s="32"/>
      <c r="E14" s="32"/>
      <c r="F14" s="32"/>
      <c r="G14" s="32"/>
      <c r="H14" s="32"/>
      <c r="I14" s="32"/>
    </row>
    <row r="15" spans="1:47">
      <c r="A15" s="32"/>
      <c r="B15" s="32"/>
      <c r="C15" s="32"/>
      <c r="D15" s="32"/>
      <c r="E15" s="32"/>
      <c r="F15" s="32"/>
      <c r="G15" s="32"/>
      <c r="H15" s="32"/>
      <c r="I15" s="32"/>
    </row>
    <row r="16" spans="1:47">
      <c r="A16" s="32"/>
      <c r="B16" s="32"/>
      <c r="C16" s="32"/>
      <c r="D16" s="32"/>
      <c r="E16" s="32"/>
      <c r="F16" s="32"/>
      <c r="G16" s="32"/>
      <c r="H16" s="32"/>
      <c r="I16" s="32"/>
    </row>
    <row r="17" spans="1:9">
      <c r="A17" s="32"/>
      <c r="B17" s="32"/>
      <c r="C17" s="32"/>
      <c r="D17" s="32"/>
      <c r="E17" s="32"/>
      <c r="F17" s="32"/>
      <c r="G17" s="32"/>
      <c r="H17" s="32"/>
      <c r="I17" s="32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L75"/>
  <sheetViews>
    <sheetView workbookViewId="0">
      <selection activeCell="C9" sqref="C9"/>
    </sheetView>
  </sheetViews>
  <sheetFormatPr defaultRowHeight="12.75"/>
  <cols>
    <col min="1" max="1" width="34.7109375" customWidth="1"/>
    <col min="2" max="2" width="1.85546875" customWidth="1"/>
    <col min="3" max="3" width="16.85546875" customWidth="1"/>
    <col min="4" max="4" width="2.5703125" customWidth="1"/>
    <col min="6" max="6" width="6.5703125" customWidth="1"/>
    <col min="8" max="8" width="6.28515625" customWidth="1"/>
    <col min="9" max="9" width="2" style="32" customWidth="1"/>
    <col min="10" max="10" width="9.140625" style="32"/>
    <col min="11" max="11" width="6.140625" style="32" customWidth="1"/>
    <col min="12" max="12" width="9.140625" style="32"/>
    <col min="13" max="13" width="6.28515625" style="32" customWidth="1"/>
    <col min="14" max="14" width="9.140625" style="32"/>
    <col min="15" max="15" width="6.28515625" style="32" customWidth="1"/>
    <col min="16" max="16" width="1.42578125" style="32" customWidth="1"/>
    <col min="17" max="17" width="9.140625" style="32"/>
    <col min="18" max="18" width="6.42578125" style="32" customWidth="1"/>
    <col min="19" max="19" width="9.140625" style="32"/>
    <col min="20" max="20" width="6.42578125" style="32" customWidth="1"/>
    <col min="22" max="22" width="6.28515625" customWidth="1"/>
    <col min="23" max="23" width="1.7109375" customWidth="1"/>
    <col min="25" max="25" width="6.28515625" customWidth="1"/>
    <col min="27" max="27" width="7.140625" customWidth="1"/>
    <col min="29" max="29" width="6.5703125" customWidth="1"/>
    <col min="30" max="30" width="1.28515625" customWidth="1"/>
    <col min="32" max="32" width="6" customWidth="1"/>
    <col min="34" max="34" width="8" customWidth="1"/>
    <col min="36" max="36" width="3" customWidth="1"/>
  </cols>
  <sheetData>
    <row r="1" spans="1:38" ht="21" customHeight="1">
      <c r="A1" s="12" t="s">
        <v>146</v>
      </c>
    </row>
    <row r="2" spans="1:38">
      <c r="A2" s="12"/>
    </row>
    <row r="3" spans="1:38">
      <c r="A3" s="12"/>
      <c r="B3" s="12"/>
      <c r="C3" s="45" t="s">
        <v>140</v>
      </c>
      <c r="D3" s="101"/>
      <c r="E3" s="101" t="s">
        <v>169</v>
      </c>
      <c r="F3" s="101"/>
      <c r="G3" s="101"/>
      <c r="H3" s="40"/>
      <c r="I3" s="15"/>
      <c r="J3" s="45" t="s">
        <v>139</v>
      </c>
      <c r="K3" s="101"/>
      <c r="L3" s="101" t="s">
        <v>169</v>
      </c>
      <c r="M3" s="101"/>
      <c r="N3" s="101"/>
      <c r="O3" s="40"/>
      <c r="P3" s="15"/>
      <c r="Q3" s="45" t="s">
        <v>138</v>
      </c>
      <c r="R3" s="101"/>
      <c r="S3" s="101" t="s">
        <v>169</v>
      </c>
      <c r="T3" s="101"/>
      <c r="U3" s="101"/>
      <c r="V3" s="40"/>
      <c r="W3" s="14"/>
      <c r="X3" s="45" t="s">
        <v>137</v>
      </c>
      <c r="Y3" s="101"/>
      <c r="Z3" s="101" t="s">
        <v>169</v>
      </c>
      <c r="AA3" s="101"/>
      <c r="AB3" s="101"/>
      <c r="AC3" s="40"/>
      <c r="AD3" s="14"/>
      <c r="AE3" s="45" t="s">
        <v>172</v>
      </c>
      <c r="AF3" s="101"/>
      <c r="AG3" s="101" t="s">
        <v>169</v>
      </c>
      <c r="AH3" s="101"/>
      <c r="AI3" s="101"/>
      <c r="AJ3" s="40"/>
    </row>
    <row r="4" spans="1:38">
      <c r="A4" s="12"/>
      <c r="B4" s="44"/>
      <c r="C4" s="39" t="s">
        <v>147</v>
      </c>
      <c r="D4" s="101"/>
      <c r="E4" s="101" t="s">
        <v>148</v>
      </c>
      <c r="F4" s="101"/>
      <c r="G4" s="101" t="s">
        <v>149</v>
      </c>
      <c r="H4" s="40"/>
      <c r="I4" s="15"/>
      <c r="J4" s="39" t="s">
        <v>147</v>
      </c>
      <c r="K4" s="101"/>
      <c r="L4" s="101" t="s">
        <v>148</v>
      </c>
      <c r="M4" s="101"/>
      <c r="N4" s="101" t="s">
        <v>149</v>
      </c>
      <c r="O4" s="40"/>
      <c r="P4" s="15"/>
      <c r="Q4" s="39" t="s">
        <v>147</v>
      </c>
      <c r="R4" s="101"/>
      <c r="S4" s="101" t="s">
        <v>148</v>
      </c>
      <c r="T4" s="101"/>
      <c r="U4" s="101" t="s">
        <v>149</v>
      </c>
      <c r="V4" s="40"/>
      <c r="W4" s="14"/>
      <c r="X4" s="39" t="s">
        <v>147</v>
      </c>
      <c r="Y4" s="101"/>
      <c r="Z4" s="101" t="s">
        <v>148</v>
      </c>
      <c r="AA4" s="101"/>
      <c r="AB4" s="101" t="s">
        <v>149</v>
      </c>
      <c r="AC4" s="40"/>
      <c r="AD4" s="14"/>
      <c r="AE4" s="39" t="s">
        <v>147</v>
      </c>
      <c r="AF4" s="101"/>
      <c r="AG4" s="101" t="s">
        <v>148</v>
      </c>
      <c r="AH4" s="101"/>
      <c r="AI4" s="101" t="s">
        <v>173</v>
      </c>
      <c r="AJ4" s="40"/>
    </row>
    <row r="5" spans="1:38">
      <c r="A5" s="12"/>
      <c r="B5" s="44"/>
      <c r="C5" s="102" t="s">
        <v>165</v>
      </c>
      <c r="D5" s="15"/>
      <c r="E5" s="15" t="s">
        <v>165</v>
      </c>
      <c r="F5" s="15"/>
      <c r="G5" s="15" t="s">
        <v>165</v>
      </c>
      <c r="H5" s="38"/>
      <c r="I5" s="15"/>
      <c r="J5" s="102" t="s">
        <v>170</v>
      </c>
      <c r="K5" s="15"/>
      <c r="L5" s="102" t="s">
        <v>170</v>
      </c>
      <c r="M5" s="15"/>
      <c r="N5" s="102" t="s">
        <v>170</v>
      </c>
      <c r="O5" s="38"/>
      <c r="P5" s="15"/>
      <c r="Q5" s="102" t="s">
        <v>171</v>
      </c>
      <c r="R5" s="15"/>
      <c r="S5" s="102" t="s">
        <v>171</v>
      </c>
      <c r="T5" s="15"/>
      <c r="U5" s="102" t="s">
        <v>171</v>
      </c>
      <c r="V5" s="38"/>
      <c r="W5" s="14"/>
      <c r="X5" s="102" t="s">
        <v>163</v>
      </c>
      <c r="Y5" s="15"/>
      <c r="Z5" s="102" t="s">
        <v>163</v>
      </c>
      <c r="AA5" s="15"/>
      <c r="AB5" s="102" t="s">
        <v>163</v>
      </c>
      <c r="AC5" s="38"/>
      <c r="AD5" s="14"/>
      <c r="AE5" s="102"/>
      <c r="AF5" s="15"/>
      <c r="AG5" s="15"/>
      <c r="AH5" s="15"/>
      <c r="AI5" s="15"/>
      <c r="AJ5" s="38"/>
    </row>
    <row r="6" spans="1:38">
      <c r="A6" s="12"/>
      <c r="B6" s="49"/>
      <c r="C6" s="133">
        <v>2003</v>
      </c>
      <c r="D6" s="42"/>
      <c r="E6" s="106">
        <v>2003</v>
      </c>
      <c r="F6" s="42"/>
      <c r="G6" s="106">
        <v>2003</v>
      </c>
      <c r="H6" s="107"/>
      <c r="I6" s="42"/>
      <c r="J6" s="133">
        <v>2003</v>
      </c>
      <c r="K6" s="42"/>
      <c r="L6" s="106">
        <v>2003</v>
      </c>
      <c r="M6" s="42"/>
      <c r="N6" s="106">
        <v>2003</v>
      </c>
      <c r="O6" s="107"/>
      <c r="P6" s="15"/>
      <c r="Q6" s="133">
        <v>2003</v>
      </c>
      <c r="R6" s="42"/>
      <c r="S6" s="106">
        <v>2003</v>
      </c>
      <c r="T6" s="42"/>
      <c r="U6" s="106">
        <v>2003</v>
      </c>
      <c r="V6" s="107"/>
      <c r="W6" s="14"/>
      <c r="X6" s="133">
        <v>2003</v>
      </c>
      <c r="Y6" s="42"/>
      <c r="Z6" s="106">
        <v>2003</v>
      </c>
      <c r="AA6" s="42"/>
      <c r="AB6" s="106">
        <v>2003</v>
      </c>
      <c r="AC6" s="107"/>
      <c r="AD6" s="14"/>
      <c r="AE6" s="133">
        <v>2003</v>
      </c>
      <c r="AF6" s="42"/>
      <c r="AG6" s="106">
        <v>2003</v>
      </c>
      <c r="AH6" s="42"/>
      <c r="AI6" s="106">
        <v>2003</v>
      </c>
      <c r="AJ6" s="107"/>
    </row>
    <row r="7" spans="1:38">
      <c r="A7" s="113" t="s">
        <v>150</v>
      </c>
      <c r="B7" s="100"/>
      <c r="C7" s="108" t="s">
        <v>5</v>
      </c>
      <c r="D7" s="16"/>
      <c r="E7" s="16" t="s">
        <v>5</v>
      </c>
      <c r="F7" s="16"/>
      <c r="G7" s="16" t="s">
        <v>5</v>
      </c>
      <c r="H7" s="17"/>
      <c r="I7" s="6"/>
      <c r="J7" s="108" t="s">
        <v>5</v>
      </c>
      <c r="K7" s="16"/>
      <c r="L7" s="16" t="s">
        <v>5</v>
      </c>
      <c r="M7" s="16"/>
      <c r="N7" s="16" t="s">
        <v>5</v>
      </c>
      <c r="O7" s="17"/>
      <c r="P7" s="15"/>
      <c r="Q7" s="108" t="s">
        <v>5</v>
      </c>
      <c r="R7" s="16"/>
      <c r="S7" s="16" t="s">
        <v>5</v>
      </c>
      <c r="T7" s="16"/>
      <c r="U7" s="16" t="s">
        <v>5</v>
      </c>
      <c r="V7" s="17"/>
      <c r="W7" s="14"/>
      <c r="X7" s="108" t="s">
        <v>5</v>
      </c>
      <c r="Y7" s="16"/>
      <c r="Z7" s="16" t="s">
        <v>5</v>
      </c>
      <c r="AA7" s="16"/>
      <c r="AB7" s="16" t="s">
        <v>5</v>
      </c>
      <c r="AC7" s="17"/>
      <c r="AD7" s="14"/>
      <c r="AE7" s="108" t="s">
        <v>5</v>
      </c>
      <c r="AF7" s="16"/>
      <c r="AG7" s="16" t="s">
        <v>5</v>
      </c>
      <c r="AH7" s="16"/>
      <c r="AI7" s="16" t="s">
        <v>5</v>
      </c>
      <c r="AJ7" s="17"/>
    </row>
    <row r="8" spans="1:38">
      <c r="A8" s="20" t="s">
        <v>14</v>
      </c>
      <c r="B8" s="57"/>
      <c r="C8" s="7">
        <v>5495</v>
      </c>
      <c r="D8" s="96"/>
      <c r="E8" s="96">
        <v>1086</v>
      </c>
      <c r="F8" s="96"/>
      <c r="G8" s="96">
        <v>6581</v>
      </c>
      <c r="H8" s="4"/>
      <c r="I8" s="96"/>
      <c r="J8" s="7">
        <f t="shared" ref="J8:J13" si="0">+N8-L8</f>
        <v>5501</v>
      </c>
      <c r="K8" s="96"/>
      <c r="L8" s="96">
        <v>1214</v>
      </c>
      <c r="M8" s="96"/>
      <c r="N8" s="96">
        <v>6715</v>
      </c>
      <c r="O8" s="4"/>
      <c r="P8" s="15"/>
      <c r="Q8" s="7">
        <f t="shared" ref="Q8:Q13" si="1">+U8-S8</f>
        <v>6327</v>
      </c>
      <c r="R8" s="96"/>
      <c r="S8" s="96">
        <f>2350-1198</f>
        <v>1152</v>
      </c>
      <c r="T8" s="96"/>
      <c r="U8" s="96">
        <f>14382-6903</f>
        <v>7479</v>
      </c>
      <c r="V8" s="4"/>
      <c r="W8" s="14"/>
      <c r="X8" s="7">
        <f t="shared" ref="X8:X13" si="2">+AB8-Z8</f>
        <v>5705</v>
      </c>
      <c r="Y8" s="96"/>
      <c r="Z8" s="14">
        <v>1198</v>
      </c>
      <c r="AA8" s="96"/>
      <c r="AB8" s="5">
        <v>6903</v>
      </c>
      <c r="AC8" s="4"/>
      <c r="AD8" s="14"/>
      <c r="AE8" s="144">
        <f t="shared" ref="AE8:AE13" si="3">+C8+J8+Q8+X8</f>
        <v>23028</v>
      </c>
      <c r="AF8" s="145"/>
      <c r="AG8" s="145">
        <f t="shared" ref="AG8:AG13" si="4">+E8+L8+S8+Z8</f>
        <v>4650</v>
      </c>
      <c r="AH8" s="145"/>
      <c r="AI8" s="145">
        <f t="shared" ref="AI8:AI13" si="5">+G8+N8+U8+AB8</f>
        <v>27678</v>
      </c>
      <c r="AJ8" s="146"/>
    </row>
    <row r="9" spans="1:38" ht="16.5" customHeight="1">
      <c r="A9" s="132" t="s">
        <v>166</v>
      </c>
      <c r="B9" s="20"/>
      <c r="C9" s="3">
        <v>176</v>
      </c>
      <c r="D9" s="34"/>
      <c r="E9" s="34">
        <v>0</v>
      </c>
      <c r="F9" s="34"/>
      <c r="G9" s="34">
        <v>176</v>
      </c>
      <c r="H9" s="1"/>
      <c r="I9" s="34"/>
      <c r="J9" s="7">
        <f t="shared" si="0"/>
        <v>165</v>
      </c>
      <c r="K9" s="34"/>
      <c r="L9" s="34"/>
      <c r="M9" s="34"/>
      <c r="N9" s="34">
        <v>165</v>
      </c>
      <c r="O9" s="1"/>
      <c r="P9" s="15"/>
      <c r="Q9" s="7">
        <f t="shared" si="1"/>
        <v>251</v>
      </c>
      <c r="R9" s="34"/>
      <c r="S9" s="34"/>
      <c r="T9" s="34"/>
      <c r="U9" s="34">
        <v>251</v>
      </c>
      <c r="V9" s="1"/>
      <c r="W9" s="14"/>
      <c r="X9" s="7">
        <f t="shared" si="2"/>
        <v>230</v>
      </c>
      <c r="Y9" s="34"/>
      <c r="Z9" s="14">
        <v>0</v>
      </c>
      <c r="AA9" s="34"/>
      <c r="AB9" s="98">
        <v>230</v>
      </c>
      <c r="AC9" s="1"/>
      <c r="AD9" s="14"/>
      <c r="AE9" s="7">
        <f t="shared" si="3"/>
        <v>822</v>
      </c>
      <c r="AF9" s="96"/>
      <c r="AG9" s="96">
        <f t="shared" si="4"/>
        <v>0</v>
      </c>
      <c r="AH9" s="96"/>
      <c r="AI9" s="96">
        <f t="shared" si="5"/>
        <v>822</v>
      </c>
      <c r="AJ9" s="1"/>
    </row>
    <row r="10" spans="1:38">
      <c r="A10" s="131" t="s">
        <v>167</v>
      </c>
      <c r="B10" s="59"/>
      <c r="C10" s="2">
        <f>+G10-E10</f>
        <v>53869</v>
      </c>
      <c r="D10" s="129"/>
      <c r="E10" s="129">
        <v>10267</v>
      </c>
      <c r="F10" s="129"/>
      <c r="G10" s="129">
        <f>63315+821</f>
        <v>64136</v>
      </c>
      <c r="H10" s="134"/>
      <c r="I10" s="129"/>
      <c r="J10" s="7">
        <f t="shared" si="0"/>
        <v>52055</v>
      </c>
      <c r="K10" s="129"/>
      <c r="L10" s="129">
        <v>11350</v>
      </c>
      <c r="M10" s="129"/>
      <c r="N10" s="129">
        <f>62672+733</f>
        <v>63405</v>
      </c>
      <c r="O10" s="134"/>
      <c r="P10" s="15"/>
      <c r="Q10" s="7">
        <f t="shared" si="1"/>
        <v>61597</v>
      </c>
      <c r="R10" s="129"/>
      <c r="S10" s="129">
        <f>22408-11477+14</f>
        <v>10945</v>
      </c>
      <c r="T10" s="129"/>
      <c r="U10" s="129">
        <f>137830+47-66433+1105-7</f>
        <v>72542</v>
      </c>
      <c r="V10" s="134"/>
      <c r="W10" s="14"/>
      <c r="X10" s="7">
        <f t="shared" si="2"/>
        <v>55970</v>
      </c>
      <c r="Y10" s="129"/>
      <c r="Z10" s="98">
        <f>11467+10</f>
        <v>11477</v>
      </c>
      <c r="AA10" s="129"/>
      <c r="AB10" s="98">
        <f>66408+1039</f>
        <v>67447</v>
      </c>
      <c r="AC10" s="134"/>
      <c r="AD10" s="14"/>
      <c r="AE10" s="7">
        <f t="shared" si="3"/>
        <v>223491</v>
      </c>
      <c r="AF10" s="96"/>
      <c r="AG10" s="96">
        <f t="shared" si="4"/>
        <v>44039</v>
      </c>
      <c r="AH10" s="96"/>
      <c r="AI10" s="96">
        <f t="shared" si="5"/>
        <v>267530</v>
      </c>
      <c r="AJ10" s="134"/>
      <c r="AK10">
        <v>263857</v>
      </c>
      <c r="AL10" s="153">
        <f>+AI10-AK10</f>
        <v>3673</v>
      </c>
    </row>
    <row r="11" spans="1:38">
      <c r="A11" s="31" t="s">
        <v>15</v>
      </c>
      <c r="B11" s="59"/>
      <c r="C11" s="2">
        <f>+G11-E11</f>
        <v>-53290</v>
      </c>
      <c r="D11" s="129"/>
      <c r="E11" s="129">
        <v>-11666</v>
      </c>
      <c r="F11" s="129"/>
      <c r="G11" s="129">
        <f>-64135-821</f>
        <v>-64956</v>
      </c>
      <c r="H11" s="134"/>
      <c r="I11" s="129"/>
      <c r="J11" s="7">
        <f t="shared" si="0"/>
        <v>-52787</v>
      </c>
      <c r="K11" s="129"/>
      <c r="L11" s="129">
        <v>-12762</v>
      </c>
      <c r="M11" s="129"/>
      <c r="N11" s="129">
        <f>-64762-733-54</f>
        <v>-65549</v>
      </c>
      <c r="O11" s="134"/>
      <c r="P11" s="15"/>
      <c r="Q11" s="7">
        <f t="shared" si="1"/>
        <v>-57798</v>
      </c>
      <c r="R11" s="129"/>
      <c r="S11" s="129">
        <f>-23118+11659</f>
        <v>-11459</v>
      </c>
      <c r="T11" s="129"/>
      <c r="U11" s="129">
        <f>-132594+99+42+64294-1105+7</f>
        <v>-69257</v>
      </c>
      <c r="V11" s="134"/>
      <c r="W11" s="14"/>
      <c r="X11" s="7">
        <f t="shared" si="2"/>
        <v>-53649</v>
      </c>
      <c r="Y11" s="129"/>
      <c r="Z11" s="98">
        <v>-11659</v>
      </c>
      <c r="AA11" s="129"/>
      <c r="AB11" s="98">
        <f>-65252-77+22-1</f>
        <v>-65308</v>
      </c>
      <c r="AC11" s="134"/>
      <c r="AD11" s="14"/>
      <c r="AE11" s="7">
        <f t="shared" si="3"/>
        <v>-217524</v>
      </c>
      <c r="AF11" s="96"/>
      <c r="AG11" s="96">
        <f t="shared" si="4"/>
        <v>-47546</v>
      </c>
      <c r="AH11" s="96"/>
      <c r="AI11" s="96">
        <f t="shared" si="5"/>
        <v>-265070</v>
      </c>
      <c r="AJ11" s="134"/>
      <c r="AK11">
        <v>-261397</v>
      </c>
      <c r="AL11" s="153">
        <f>+AI11-AK11</f>
        <v>-3673</v>
      </c>
    </row>
    <row r="12" spans="1:38" s="163" customFormat="1">
      <c r="A12" s="154" t="s">
        <v>151</v>
      </c>
      <c r="B12" s="155"/>
      <c r="C12" s="156">
        <f>+G12-E12</f>
        <v>10817</v>
      </c>
      <c r="D12" s="157"/>
      <c r="E12" s="157">
        <v>-7996</v>
      </c>
      <c r="F12" s="157"/>
      <c r="G12" s="157">
        <v>2821</v>
      </c>
      <c r="H12" s="158"/>
      <c r="I12" s="157"/>
      <c r="J12" s="159">
        <f t="shared" si="0"/>
        <v>-10817</v>
      </c>
      <c r="K12" s="157"/>
      <c r="L12" s="157">
        <v>0</v>
      </c>
      <c r="M12" s="157"/>
      <c r="N12" s="157">
        <v>-10817</v>
      </c>
      <c r="O12" s="158"/>
      <c r="P12" s="160"/>
      <c r="Q12" s="159">
        <f t="shared" si="1"/>
        <v>0</v>
      </c>
      <c r="R12" s="157"/>
      <c r="S12" s="157">
        <v>0</v>
      </c>
      <c r="T12" s="157"/>
      <c r="U12" s="157">
        <v>0</v>
      </c>
      <c r="V12" s="158"/>
      <c r="W12" s="154"/>
      <c r="X12" s="159">
        <f t="shared" si="2"/>
        <v>0</v>
      </c>
      <c r="Y12" s="157"/>
      <c r="Z12" s="161"/>
      <c r="AA12" s="157"/>
      <c r="AB12" s="161"/>
      <c r="AC12" s="158"/>
      <c r="AD12" s="154"/>
      <c r="AE12" s="159">
        <f t="shared" si="3"/>
        <v>0</v>
      </c>
      <c r="AF12" s="162"/>
      <c r="AG12" s="162">
        <f t="shared" si="4"/>
        <v>-7996</v>
      </c>
      <c r="AH12" s="162"/>
      <c r="AI12" s="162">
        <f t="shared" si="5"/>
        <v>-7996</v>
      </c>
      <c r="AJ12" s="158"/>
    </row>
    <row r="13" spans="1:38">
      <c r="A13" s="31" t="s">
        <v>17</v>
      </c>
      <c r="B13" s="63"/>
      <c r="C13" s="135">
        <f>+G13-E13</f>
        <v>289</v>
      </c>
      <c r="D13" s="114"/>
      <c r="E13" s="114">
        <v>17</v>
      </c>
      <c r="F13" s="114"/>
      <c r="G13" s="114">
        <v>306</v>
      </c>
      <c r="H13" s="136"/>
      <c r="I13" s="129"/>
      <c r="J13" s="137">
        <f t="shared" si="0"/>
        <v>131</v>
      </c>
      <c r="K13" s="114"/>
      <c r="L13" s="114">
        <v>0</v>
      </c>
      <c r="M13" s="114"/>
      <c r="N13" s="114">
        <v>131</v>
      </c>
      <c r="O13" s="136"/>
      <c r="P13" s="15"/>
      <c r="Q13" s="137">
        <f t="shared" si="1"/>
        <v>250</v>
      </c>
      <c r="R13" s="114"/>
      <c r="S13" s="114">
        <v>0</v>
      </c>
      <c r="T13" s="114"/>
      <c r="U13" s="114">
        <f>1086-836</f>
        <v>250</v>
      </c>
      <c r="V13" s="136"/>
      <c r="W13" s="14"/>
      <c r="X13" s="137">
        <f t="shared" si="2"/>
        <v>836</v>
      </c>
      <c r="Y13" s="114"/>
      <c r="Z13" s="114">
        <v>0</v>
      </c>
      <c r="AA13" s="114"/>
      <c r="AB13" s="114">
        <v>836</v>
      </c>
      <c r="AC13" s="136"/>
      <c r="AD13" s="14"/>
      <c r="AE13" s="137">
        <f t="shared" si="3"/>
        <v>1506</v>
      </c>
      <c r="AF13" s="138"/>
      <c r="AG13" s="138">
        <f t="shared" si="4"/>
        <v>17</v>
      </c>
      <c r="AH13" s="138"/>
      <c r="AI13" s="138">
        <f t="shared" si="5"/>
        <v>1523</v>
      </c>
      <c r="AJ13" s="136"/>
    </row>
    <row r="14" spans="1:38">
      <c r="A14" s="31" t="s">
        <v>18</v>
      </c>
      <c r="B14" s="61"/>
      <c r="C14" s="139">
        <f>SUM(C10:C13)</f>
        <v>11685</v>
      </c>
      <c r="D14" s="99"/>
      <c r="E14" s="99">
        <f>SUM(E10:E13)</f>
        <v>-9378</v>
      </c>
      <c r="F14" s="99"/>
      <c r="G14" s="99">
        <f>SUM(G10:G13)</f>
        <v>2307</v>
      </c>
      <c r="H14" s="140"/>
      <c r="I14" s="99"/>
      <c r="J14" s="139">
        <f>SUM(J10:J13)</f>
        <v>-11418</v>
      </c>
      <c r="K14" s="99"/>
      <c r="L14" s="99">
        <f>SUM(L10:L13)</f>
        <v>-1412</v>
      </c>
      <c r="M14" s="99"/>
      <c r="N14" s="99">
        <f>SUM(N10:N13)</f>
        <v>-12830</v>
      </c>
      <c r="O14" s="140"/>
      <c r="P14" s="15"/>
      <c r="Q14" s="139">
        <f>SUM(Q10:Q13)</f>
        <v>4049</v>
      </c>
      <c r="R14" s="99"/>
      <c r="S14" s="99">
        <f>SUM(S10:S13)</f>
        <v>-514</v>
      </c>
      <c r="T14" s="99"/>
      <c r="U14" s="99">
        <f>SUM(U10:U13)</f>
        <v>3535</v>
      </c>
      <c r="V14" s="140"/>
      <c r="W14" s="14"/>
      <c r="X14" s="139">
        <f>SUM(X10:X13)</f>
        <v>3157</v>
      </c>
      <c r="Y14" s="99"/>
      <c r="Z14" s="115">
        <f>SUM(Z10:Z13)</f>
        <v>-182</v>
      </c>
      <c r="AA14" s="99"/>
      <c r="AB14" s="115">
        <f>SUM(AB10:AB13)</f>
        <v>2975</v>
      </c>
      <c r="AC14" s="140"/>
      <c r="AD14" s="14"/>
      <c r="AE14" s="147">
        <f>SUM(AE10:AE13)</f>
        <v>7473</v>
      </c>
      <c r="AF14" s="148"/>
      <c r="AG14" s="148">
        <f>SUM(AG10:AG13)</f>
        <v>-11486</v>
      </c>
      <c r="AH14" s="148"/>
      <c r="AI14" s="148">
        <f>SUM(AI10:AI13)</f>
        <v>-4013</v>
      </c>
      <c r="AJ14" s="149"/>
    </row>
    <row r="15" spans="1:38" ht="14.25" customHeight="1">
      <c r="A15" s="14" t="s">
        <v>19</v>
      </c>
      <c r="B15" s="59"/>
      <c r="C15" s="135">
        <v>-89</v>
      </c>
      <c r="D15" s="114"/>
      <c r="E15" s="114">
        <v>-12</v>
      </c>
      <c r="F15" s="114"/>
      <c r="G15" s="114">
        <v>-101</v>
      </c>
      <c r="H15" s="136"/>
      <c r="I15" s="129"/>
      <c r="J15" s="135">
        <f>+N15-L15</f>
        <v>-124</v>
      </c>
      <c r="K15" s="114"/>
      <c r="L15" s="114">
        <v>-14</v>
      </c>
      <c r="M15" s="114"/>
      <c r="N15" s="114">
        <v>-138</v>
      </c>
      <c r="O15" s="136"/>
      <c r="P15" s="15"/>
      <c r="Q15" s="135">
        <f>+U15-S15</f>
        <v>-124</v>
      </c>
      <c r="R15" s="114"/>
      <c r="S15" s="114">
        <f>-32+14</f>
        <v>-18</v>
      </c>
      <c r="T15" s="114"/>
      <c r="U15" s="114">
        <f>+-260+118</f>
        <v>-142</v>
      </c>
      <c r="V15" s="136"/>
      <c r="W15" s="14"/>
      <c r="X15" s="135">
        <f>+AB15-Z15</f>
        <v>-104</v>
      </c>
      <c r="Y15" s="114"/>
      <c r="Z15" s="114">
        <v>-14</v>
      </c>
      <c r="AA15" s="114"/>
      <c r="AB15" s="114">
        <v>-118</v>
      </c>
      <c r="AC15" s="136"/>
      <c r="AD15" s="14"/>
      <c r="AE15" s="137">
        <f>+C15+J15+Q15+X15</f>
        <v>-441</v>
      </c>
      <c r="AF15" s="138"/>
      <c r="AG15" s="138">
        <f>+E15+L15+S15+Z15</f>
        <v>-58</v>
      </c>
      <c r="AH15" s="138"/>
      <c r="AI15" s="138">
        <f>+G15+N15+U15+AB15</f>
        <v>-499</v>
      </c>
      <c r="AJ15" s="136"/>
    </row>
    <row r="16" spans="1:38">
      <c r="A16" s="14" t="s">
        <v>20</v>
      </c>
      <c r="B16" s="59"/>
      <c r="C16" s="2">
        <f>+C14+C15</f>
        <v>11596</v>
      </c>
      <c r="D16" s="129"/>
      <c r="E16" s="129">
        <f>+E14+E15</f>
        <v>-9390</v>
      </c>
      <c r="F16" s="129"/>
      <c r="G16" s="129">
        <f>+G14+G15</f>
        <v>2206</v>
      </c>
      <c r="H16" s="134"/>
      <c r="I16" s="129"/>
      <c r="J16" s="2">
        <f>+J14+J15</f>
        <v>-11542</v>
      </c>
      <c r="K16" s="129"/>
      <c r="L16" s="129">
        <f>+L14+L15</f>
        <v>-1426</v>
      </c>
      <c r="M16" s="129"/>
      <c r="N16" s="129">
        <f>+N14+N15</f>
        <v>-12968</v>
      </c>
      <c r="O16" s="134"/>
      <c r="P16" s="15"/>
      <c r="Q16" s="2">
        <f>+Q14+Q15</f>
        <v>3925</v>
      </c>
      <c r="R16" s="129"/>
      <c r="S16" s="129">
        <f>+S14+S15</f>
        <v>-532</v>
      </c>
      <c r="T16" s="129"/>
      <c r="U16" s="129">
        <f>+U14+U15</f>
        <v>3393</v>
      </c>
      <c r="V16" s="134"/>
      <c r="W16" s="14"/>
      <c r="X16" s="2">
        <f>+X14+X15</f>
        <v>3053</v>
      </c>
      <c r="Y16" s="129"/>
      <c r="Z16" s="98">
        <f>SUM(Z14:Z15)</f>
        <v>-196</v>
      </c>
      <c r="AA16" s="129"/>
      <c r="AB16" s="98">
        <f>SUM(AB14:AB15)</f>
        <v>2857</v>
      </c>
      <c r="AC16" s="134"/>
      <c r="AD16" s="14"/>
      <c r="AE16" s="150">
        <f>+AE14+AE15</f>
        <v>7032</v>
      </c>
      <c r="AF16" s="151"/>
      <c r="AG16" s="151">
        <f>SUM(AG14:AG15)</f>
        <v>-11544</v>
      </c>
      <c r="AH16" s="151"/>
      <c r="AI16" s="151">
        <f>SUM(AI14:AI15)</f>
        <v>-4512</v>
      </c>
      <c r="AJ16" s="152"/>
    </row>
    <row r="17" spans="1:36">
      <c r="A17" s="14" t="s">
        <v>21</v>
      </c>
      <c r="B17" s="63"/>
      <c r="C17" s="135">
        <v>-585</v>
      </c>
      <c r="D17" s="114"/>
      <c r="E17" s="114">
        <v>0</v>
      </c>
      <c r="F17" s="114"/>
      <c r="G17" s="114">
        <v>-585</v>
      </c>
      <c r="H17" s="136"/>
      <c r="I17" s="129"/>
      <c r="J17" s="135">
        <f>+N17-L17</f>
        <v>100</v>
      </c>
      <c r="K17" s="114"/>
      <c r="L17" s="114">
        <v>0</v>
      </c>
      <c r="M17" s="114"/>
      <c r="N17" s="114">
        <v>100</v>
      </c>
      <c r="O17" s="136"/>
      <c r="P17" s="15"/>
      <c r="Q17" s="135">
        <f>+U17-S17</f>
        <v>-873</v>
      </c>
      <c r="R17" s="114"/>
      <c r="S17" s="114">
        <v>0</v>
      </c>
      <c r="T17" s="114"/>
      <c r="U17" s="114">
        <f>-1476+603</f>
        <v>-873</v>
      </c>
      <c r="V17" s="136"/>
      <c r="W17" s="14"/>
      <c r="X17" s="135">
        <f>+AB17-Z17</f>
        <v>-603</v>
      </c>
      <c r="Y17" s="114"/>
      <c r="Z17" s="114"/>
      <c r="AA17" s="114"/>
      <c r="AB17" s="114">
        <v>-603</v>
      </c>
      <c r="AC17" s="136"/>
      <c r="AD17" s="14"/>
      <c r="AE17" s="137">
        <f>+C17+J17+Q17+X17</f>
        <v>-1961</v>
      </c>
      <c r="AF17" s="138"/>
      <c r="AG17" s="138">
        <f>+E17+L17+S17+Z17</f>
        <v>0</v>
      </c>
      <c r="AH17" s="138"/>
      <c r="AI17" s="138">
        <f>+G17+N17+U17+AB17</f>
        <v>-1961</v>
      </c>
      <c r="AJ17" s="136"/>
    </row>
    <row r="18" spans="1:36">
      <c r="A18" s="14" t="s">
        <v>22</v>
      </c>
      <c r="B18" s="59"/>
      <c r="C18" s="2">
        <f>SUM(C16:C17)</f>
        <v>11011</v>
      </c>
      <c r="D18" s="129"/>
      <c r="E18" s="129">
        <f>SUM(E16:E17)</f>
        <v>-9390</v>
      </c>
      <c r="F18" s="129"/>
      <c r="G18" s="129">
        <f>SUM(G16:G17)</f>
        <v>1621</v>
      </c>
      <c r="H18" s="134"/>
      <c r="I18" s="129"/>
      <c r="J18" s="2">
        <f>SUM(J16:J17)</f>
        <v>-11442</v>
      </c>
      <c r="K18" s="129"/>
      <c r="L18" s="129">
        <f>SUM(L16:L17)</f>
        <v>-1426</v>
      </c>
      <c r="M18" s="129"/>
      <c r="N18" s="129">
        <f>SUM(N16:N17)</f>
        <v>-12868</v>
      </c>
      <c r="O18" s="134"/>
      <c r="P18" s="15"/>
      <c r="Q18" s="2">
        <f>SUM(Q16:Q17)</f>
        <v>3052</v>
      </c>
      <c r="R18" s="129"/>
      <c r="S18" s="129">
        <f>SUM(S16:S17)</f>
        <v>-532</v>
      </c>
      <c r="T18" s="129"/>
      <c r="U18" s="129">
        <f>SUM(U16:U17)</f>
        <v>2520</v>
      </c>
      <c r="V18" s="134"/>
      <c r="W18" s="14"/>
      <c r="X18" s="2">
        <f>SUM(X16:X17)</f>
        <v>2450</v>
      </c>
      <c r="Y18" s="129"/>
      <c r="Z18" s="98">
        <f>SUM(Z16:Z17)</f>
        <v>-196</v>
      </c>
      <c r="AA18" s="129"/>
      <c r="AB18" s="98">
        <f>SUM(AB16:AB17)</f>
        <v>2254</v>
      </c>
      <c r="AC18" s="134"/>
      <c r="AD18" s="14"/>
      <c r="AE18" s="150">
        <f>SUM(AE16:AE17)</f>
        <v>5071</v>
      </c>
      <c r="AF18" s="151"/>
      <c r="AG18" s="151">
        <f>SUM(AG16:AG17)</f>
        <v>-11544</v>
      </c>
      <c r="AH18" s="151"/>
      <c r="AI18" s="151">
        <f>SUM(AI16:AI17)</f>
        <v>-6473</v>
      </c>
      <c r="AJ18" s="152"/>
    </row>
    <row r="19" spans="1:36">
      <c r="A19" s="14" t="s">
        <v>23</v>
      </c>
      <c r="B19" s="63"/>
      <c r="C19" s="135">
        <v>-229.30612244897964</v>
      </c>
      <c r="D19" s="114"/>
      <c r="E19" s="114">
        <v>0</v>
      </c>
      <c r="F19" s="114"/>
      <c r="G19" s="114">
        <v>-229.30612244897964</v>
      </c>
      <c r="H19" s="136"/>
      <c r="I19" s="129"/>
      <c r="J19" s="135">
        <f>+N19-L19</f>
        <v>33</v>
      </c>
      <c r="K19" s="114"/>
      <c r="L19" s="114">
        <v>0</v>
      </c>
      <c r="M19" s="114"/>
      <c r="N19" s="114">
        <v>33</v>
      </c>
      <c r="O19" s="136"/>
      <c r="P19" s="15"/>
      <c r="Q19" s="135">
        <f>+U19-S19</f>
        <v>-455</v>
      </c>
      <c r="R19" s="114"/>
      <c r="S19" s="114">
        <v>0</v>
      </c>
      <c r="T19" s="114"/>
      <c r="U19" s="114">
        <f>-984+529</f>
        <v>-455</v>
      </c>
      <c r="V19" s="136"/>
      <c r="W19" s="14"/>
      <c r="X19" s="135">
        <f>+AB19-Z19</f>
        <v>-529</v>
      </c>
      <c r="Y19" s="114"/>
      <c r="Z19" s="114">
        <v>0</v>
      </c>
      <c r="AA19" s="114"/>
      <c r="AB19" s="114">
        <v>-529</v>
      </c>
      <c r="AC19" s="136"/>
      <c r="AD19" s="14"/>
      <c r="AE19" s="137">
        <f>+C19+J19+Q19+X19</f>
        <v>-1180.3061224489797</v>
      </c>
      <c r="AF19" s="138"/>
      <c r="AG19" s="138">
        <f>+E19+L19+S19+Z19</f>
        <v>0</v>
      </c>
      <c r="AH19" s="138"/>
      <c r="AI19" s="138">
        <f>+G19+N19+U19+AB19</f>
        <v>-1180.3061224489797</v>
      </c>
      <c r="AJ19" s="136"/>
    </row>
    <row r="20" spans="1:36">
      <c r="A20" s="14" t="s">
        <v>24</v>
      </c>
      <c r="B20" s="59"/>
      <c r="C20" s="2">
        <f>SUM(C18:C19)</f>
        <v>10781.693877551021</v>
      </c>
      <c r="D20" s="129"/>
      <c r="E20" s="129">
        <f>SUM(E18:E19)</f>
        <v>-9390</v>
      </c>
      <c r="F20" s="129"/>
      <c r="G20" s="129">
        <f>SUM(G18:G19)</f>
        <v>1391.6938775510203</v>
      </c>
      <c r="H20" s="134"/>
      <c r="I20" s="129"/>
      <c r="J20" s="2">
        <f>SUM(J18:J19)</f>
        <v>-11409</v>
      </c>
      <c r="K20" s="129"/>
      <c r="L20" s="129">
        <f>SUM(L18:L19)</f>
        <v>-1426</v>
      </c>
      <c r="M20" s="129"/>
      <c r="N20" s="129">
        <f>SUM(N18:N19)</f>
        <v>-12835</v>
      </c>
      <c r="O20" s="134"/>
      <c r="P20" s="15"/>
      <c r="Q20" s="2">
        <f>SUM(Q18:Q19)</f>
        <v>2597</v>
      </c>
      <c r="R20" s="129"/>
      <c r="S20" s="129">
        <f>SUM(S18:S19)</f>
        <v>-532</v>
      </c>
      <c r="T20" s="129"/>
      <c r="U20" s="129">
        <f>SUM(U18:U19)</f>
        <v>2065</v>
      </c>
      <c r="V20" s="134"/>
      <c r="W20" s="14"/>
      <c r="X20" s="2">
        <f>SUM(X18:X19)</f>
        <v>1921</v>
      </c>
      <c r="Y20" s="129"/>
      <c r="Z20" s="98">
        <f>SUM(Z18:Z19)</f>
        <v>-196</v>
      </c>
      <c r="AA20" s="129"/>
      <c r="AB20" s="98">
        <f>SUM(AB18:AB19)</f>
        <v>1725</v>
      </c>
      <c r="AC20" s="134"/>
      <c r="AD20" s="14"/>
      <c r="AE20" s="150">
        <f>SUM(AE18:AE19)</f>
        <v>3890.6938775510203</v>
      </c>
      <c r="AF20" s="151"/>
      <c r="AG20" s="151">
        <f>SUM(AG18:AG19)</f>
        <v>-11544</v>
      </c>
      <c r="AH20" s="151"/>
      <c r="AI20" s="151">
        <f>SUM(AI18:AI19)</f>
        <v>-7653.3061224489793</v>
      </c>
      <c r="AJ20" s="152"/>
    </row>
    <row r="21" spans="1:36">
      <c r="A21" s="12"/>
      <c r="B21" s="60"/>
      <c r="C21" s="135"/>
      <c r="D21" s="114"/>
      <c r="E21" s="114"/>
      <c r="F21" s="114"/>
      <c r="G21" s="114"/>
      <c r="H21" s="134"/>
      <c r="I21" s="129"/>
      <c r="J21" s="135"/>
      <c r="K21" s="114"/>
      <c r="L21" s="114"/>
      <c r="M21" s="114"/>
      <c r="N21" s="114"/>
      <c r="O21" s="134"/>
      <c r="P21" s="15"/>
      <c r="Q21" s="135"/>
      <c r="R21" s="114"/>
      <c r="S21" s="114"/>
      <c r="T21" s="114"/>
      <c r="U21" s="114"/>
      <c r="V21" s="134"/>
      <c r="W21" s="14"/>
      <c r="X21" s="141"/>
      <c r="Y21" s="142"/>
      <c r="Z21" s="142"/>
      <c r="AA21" s="142"/>
      <c r="AB21" s="142"/>
      <c r="AC21" s="143"/>
      <c r="AD21" s="14"/>
      <c r="AE21" s="135"/>
      <c r="AF21" s="114"/>
      <c r="AG21" s="114"/>
      <c r="AH21" s="114"/>
      <c r="AI21" s="114"/>
      <c r="AJ21" s="136"/>
    </row>
    <row r="22" spans="1:36">
      <c r="C22" s="102"/>
      <c r="D22" s="15"/>
      <c r="E22" s="15"/>
      <c r="F22" s="15"/>
      <c r="G22" s="15"/>
      <c r="H22" s="38"/>
      <c r="I22" s="15"/>
      <c r="J22" s="102"/>
      <c r="K22" s="15"/>
      <c r="L22" s="15"/>
      <c r="M22" s="15"/>
      <c r="N22" s="15"/>
      <c r="O22" s="38"/>
      <c r="P22" s="15"/>
      <c r="Q22" s="102"/>
      <c r="R22" s="15"/>
      <c r="S22" s="15"/>
      <c r="T22" s="15"/>
      <c r="U22" s="15"/>
      <c r="V22" s="38"/>
      <c r="W22" s="14"/>
      <c r="X22" s="102"/>
      <c r="Y22" s="15"/>
      <c r="Z22" s="15"/>
      <c r="AA22" s="15"/>
      <c r="AB22" s="14"/>
      <c r="AC22" s="38"/>
      <c r="AD22" s="14"/>
      <c r="AE22" s="102"/>
      <c r="AF22" s="15"/>
      <c r="AG22" s="15"/>
      <c r="AH22" s="15"/>
      <c r="AI22" s="15"/>
      <c r="AJ22" s="38"/>
    </row>
    <row r="23" spans="1:36">
      <c r="A23" t="s">
        <v>168</v>
      </c>
      <c r="C23" s="105">
        <v>821</v>
      </c>
      <c r="D23" s="95"/>
      <c r="E23" s="95"/>
      <c r="F23" s="95"/>
      <c r="G23" s="95">
        <v>821</v>
      </c>
      <c r="H23" s="41"/>
      <c r="I23" s="15"/>
      <c r="J23" s="105">
        <v>733</v>
      </c>
      <c r="K23" s="95"/>
      <c r="L23" s="95"/>
      <c r="M23" s="95"/>
      <c r="N23" s="95">
        <v>733</v>
      </c>
      <c r="O23" s="41"/>
      <c r="P23" s="15"/>
      <c r="Q23" s="105">
        <v>1105</v>
      </c>
      <c r="R23" s="95"/>
      <c r="S23" s="95"/>
      <c r="T23" s="95"/>
      <c r="U23" s="95">
        <v>1105</v>
      </c>
      <c r="V23" s="41"/>
      <c r="W23" s="14"/>
      <c r="X23" s="105">
        <v>1014</v>
      </c>
      <c r="Y23" s="95"/>
      <c r="Z23" s="95"/>
      <c r="AA23" s="95"/>
      <c r="AB23" s="114">
        <v>1014</v>
      </c>
      <c r="AC23" s="41"/>
      <c r="AD23" s="14"/>
      <c r="AE23" s="137">
        <f>+C23+J23+Q23+X23</f>
        <v>3673</v>
      </c>
      <c r="AF23" s="138"/>
      <c r="AG23" s="138">
        <f>+E23+L23+S23+Z23</f>
        <v>0</v>
      </c>
      <c r="AH23" s="138"/>
      <c r="AI23" s="138">
        <f>+G23+N23+U23+AB23</f>
        <v>3673</v>
      </c>
      <c r="AJ23" s="41"/>
    </row>
    <row r="25" spans="1:36" hidden="1"/>
    <row r="26" spans="1:36" hidden="1"/>
    <row r="27" spans="1:36" hidden="1"/>
    <row r="28" spans="1:36" hidden="1"/>
    <row r="29" spans="1:36" hidden="1">
      <c r="A29" s="113" t="s">
        <v>152</v>
      </c>
    </row>
    <row r="30" spans="1:36" hidden="1"/>
    <row r="31" spans="1:36" hidden="1">
      <c r="A31" s="14" t="s">
        <v>62</v>
      </c>
    </row>
    <row r="32" spans="1:36" hidden="1">
      <c r="A32" s="14" t="s">
        <v>69</v>
      </c>
    </row>
    <row r="33" spans="1:1" hidden="1">
      <c r="A33" s="14" t="s">
        <v>75</v>
      </c>
    </row>
    <row r="34" spans="1:1" hidden="1">
      <c r="A34" s="14" t="s">
        <v>153</v>
      </c>
    </row>
    <row r="35" spans="1:1" hidden="1">
      <c r="A35" s="14" t="s">
        <v>154</v>
      </c>
    </row>
    <row r="36" spans="1:1" hidden="1">
      <c r="A36" s="12"/>
    </row>
    <row r="37" spans="1:1" hidden="1"/>
    <row r="38" spans="1:1" hidden="1"/>
    <row r="39" spans="1:1" hidden="1">
      <c r="A39" s="68"/>
    </row>
    <row r="40" spans="1:1" hidden="1">
      <c r="A40" s="68"/>
    </row>
    <row r="41" spans="1:1" hidden="1">
      <c r="A41" s="12"/>
    </row>
    <row r="42" spans="1:1" hidden="1">
      <c r="A42" s="124" t="s">
        <v>155</v>
      </c>
    </row>
    <row r="43" spans="1:1" hidden="1"/>
    <row r="44" spans="1:1" hidden="1">
      <c r="A44" s="14" t="s">
        <v>33</v>
      </c>
    </row>
    <row r="45" spans="1:1" hidden="1">
      <c r="A45" s="14" t="s">
        <v>35</v>
      </c>
    </row>
    <row r="46" spans="1:1" hidden="1">
      <c r="A46" s="14" t="s">
        <v>156</v>
      </c>
    </row>
    <row r="47" spans="1:1" hidden="1">
      <c r="A47" s="14" t="s">
        <v>157</v>
      </c>
    </row>
    <row r="48" spans="1:1" hidden="1">
      <c r="A48" s="14" t="s">
        <v>158</v>
      </c>
    </row>
    <row r="49" spans="1:38" hidden="1">
      <c r="A49" s="14" t="s">
        <v>159</v>
      </c>
    </row>
    <row r="50" spans="1:38" hidden="1">
      <c r="A50" s="14" t="s">
        <v>160</v>
      </c>
    </row>
    <row r="51" spans="1:38" hidden="1"/>
    <row r="53" spans="1:38" ht="19.5" customHeight="1">
      <c r="A53" s="164" t="s">
        <v>174</v>
      </c>
      <c r="B53" s="163"/>
      <c r="C53" s="163"/>
      <c r="D53" s="163"/>
    </row>
    <row r="55" spans="1:38">
      <c r="A55" s="12"/>
      <c r="B55" s="12"/>
      <c r="C55" s="45" t="s">
        <v>140</v>
      </c>
      <c r="D55" s="101"/>
      <c r="E55" s="101" t="s">
        <v>169</v>
      </c>
      <c r="F55" s="101"/>
      <c r="G55" s="101"/>
      <c r="H55" s="40"/>
      <c r="I55" s="15"/>
      <c r="J55" s="45" t="s">
        <v>139</v>
      </c>
      <c r="K55" s="101"/>
      <c r="L55" s="101" t="s">
        <v>169</v>
      </c>
      <c r="M55" s="101"/>
      <c r="N55" s="101"/>
      <c r="O55" s="40"/>
      <c r="P55" s="15"/>
      <c r="Q55" s="45" t="s">
        <v>138</v>
      </c>
      <c r="R55" s="101"/>
      <c r="S55" s="101" t="s">
        <v>169</v>
      </c>
      <c r="T55" s="101"/>
      <c r="U55" s="101"/>
      <c r="V55" s="40"/>
      <c r="W55" s="14"/>
      <c r="X55" s="45" t="s">
        <v>137</v>
      </c>
      <c r="Y55" s="101"/>
      <c r="Z55" s="101" t="s">
        <v>169</v>
      </c>
      <c r="AA55" s="101"/>
      <c r="AB55" s="101"/>
      <c r="AC55" s="40"/>
      <c r="AD55" s="14"/>
      <c r="AE55" s="45" t="s">
        <v>172</v>
      </c>
      <c r="AF55" s="101"/>
      <c r="AG55" s="101" t="s">
        <v>169</v>
      </c>
      <c r="AH55" s="101"/>
      <c r="AI55" s="101"/>
      <c r="AJ55" s="40"/>
    </row>
    <row r="56" spans="1:38">
      <c r="A56" s="12"/>
      <c r="B56" s="44"/>
      <c r="C56" s="39" t="s">
        <v>147</v>
      </c>
      <c r="D56" s="101"/>
      <c r="E56" s="101" t="s">
        <v>148</v>
      </c>
      <c r="F56" s="101"/>
      <c r="G56" s="101" t="s">
        <v>149</v>
      </c>
      <c r="H56" s="40"/>
      <c r="I56" s="15"/>
      <c r="J56" s="39" t="s">
        <v>147</v>
      </c>
      <c r="K56" s="101"/>
      <c r="L56" s="101" t="s">
        <v>148</v>
      </c>
      <c r="M56" s="101"/>
      <c r="N56" s="101" t="s">
        <v>149</v>
      </c>
      <c r="O56" s="40"/>
      <c r="P56" s="15"/>
      <c r="Q56" s="39" t="s">
        <v>147</v>
      </c>
      <c r="R56" s="101"/>
      <c r="S56" s="101" t="s">
        <v>148</v>
      </c>
      <c r="T56" s="101"/>
      <c r="U56" s="101" t="s">
        <v>149</v>
      </c>
      <c r="V56" s="40"/>
      <c r="W56" s="14"/>
      <c r="X56" s="39" t="s">
        <v>147</v>
      </c>
      <c r="Y56" s="101"/>
      <c r="Z56" s="101" t="s">
        <v>148</v>
      </c>
      <c r="AA56" s="101"/>
      <c r="AB56" s="101" t="s">
        <v>149</v>
      </c>
      <c r="AC56" s="40"/>
      <c r="AD56" s="14"/>
      <c r="AE56" s="39" t="s">
        <v>147</v>
      </c>
      <c r="AF56" s="101"/>
      <c r="AG56" s="101" t="s">
        <v>148</v>
      </c>
      <c r="AH56" s="101"/>
      <c r="AI56" s="101" t="s">
        <v>173</v>
      </c>
      <c r="AJ56" s="40"/>
    </row>
    <row r="57" spans="1:38">
      <c r="A57" s="12"/>
      <c r="B57" s="44"/>
      <c r="C57" s="102" t="s">
        <v>165</v>
      </c>
      <c r="D57" s="15"/>
      <c r="E57" s="15" t="s">
        <v>165</v>
      </c>
      <c r="F57" s="15"/>
      <c r="G57" s="15" t="s">
        <v>165</v>
      </c>
      <c r="H57" s="38"/>
      <c r="I57" s="15"/>
      <c r="J57" s="102" t="s">
        <v>170</v>
      </c>
      <c r="K57" s="15"/>
      <c r="L57" s="102" t="s">
        <v>170</v>
      </c>
      <c r="M57" s="15"/>
      <c r="N57" s="102" t="s">
        <v>170</v>
      </c>
      <c r="O57" s="38"/>
      <c r="P57" s="15"/>
      <c r="Q57" s="102" t="s">
        <v>171</v>
      </c>
      <c r="R57" s="15"/>
      <c r="S57" s="102" t="s">
        <v>171</v>
      </c>
      <c r="T57" s="15"/>
      <c r="U57" s="102" t="s">
        <v>171</v>
      </c>
      <c r="V57" s="38"/>
      <c r="W57" s="14"/>
      <c r="X57" s="102" t="s">
        <v>163</v>
      </c>
      <c r="Y57" s="15"/>
      <c r="Z57" s="102" t="s">
        <v>163</v>
      </c>
      <c r="AA57" s="15"/>
      <c r="AB57" s="102" t="s">
        <v>163</v>
      </c>
      <c r="AC57" s="38"/>
      <c r="AD57" s="14"/>
      <c r="AE57" s="102"/>
      <c r="AF57" s="15"/>
      <c r="AG57" s="15"/>
      <c r="AH57" s="15"/>
      <c r="AI57" s="15"/>
      <c r="AJ57" s="38"/>
    </row>
    <row r="58" spans="1:38">
      <c r="A58" s="12"/>
      <c r="B58" s="49"/>
      <c r="C58" s="133">
        <v>2003</v>
      </c>
      <c r="D58" s="42"/>
      <c r="E58" s="106">
        <v>2003</v>
      </c>
      <c r="F58" s="42"/>
      <c r="G58" s="106">
        <v>2003</v>
      </c>
      <c r="H58" s="107"/>
      <c r="I58" s="42"/>
      <c r="J58" s="133">
        <v>2003</v>
      </c>
      <c r="K58" s="42"/>
      <c r="L58" s="106">
        <v>2003</v>
      </c>
      <c r="M58" s="42"/>
      <c r="N58" s="106">
        <v>2003</v>
      </c>
      <c r="O58" s="107"/>
      <c r="P58" s="15"/>
      <c r="Q58" s="133">
        <v>2003</v>
      </c>
      <c r="R58" s="42"/>
      <c r="S58" s="106">
        <v>2003</v>
      </c>
      <c r="T58" s="42"/>
      <c r="U58" s="106">
        <v>2003</v>
      </c>
      <c r="V58" s="107"/>
      <c r="W58" s="14"/>
      <c r="X58" s="133">
        <v>2003</v>
      </c>
      <c r="Y58" s="42"/>
      <c r="Z58" s="106">
        <v>2003</v>
      </c>
      <c r="AA58" s="42"/>
      <c r="AB58" s="106">
        <v>2003</v>
      </c>
      <c r="AC58" s="107"/>
      <c r="AD58" s="14"/>
      <c r="AE58" s="133">
        <v>2003</v>
      </c>
      <c r="AF58" s="42"/>
      <c r="AG58" s="106">
        <v>2003</v>
      </c>
      <c r="AH58" s="42"/>
      <c r="AI58" s="106">
        <v>2003</v>
      </c>
      <c r="AJ58" s="107"/>
    </row>
    <row r="59" spans="1:38">
      <c r="A59" s="113" t="s">
        <v>150</v>
      </c>
      <c r="B59" s="100"/>
      <c r="C59" s="108" t="s">
        <v>5</v>
      </c>
      <c r="D59" s="16"/>
      <c r="E59" s="16" t="s">
        <v>5</v>
      </c>
      <c r="F59" s="16"/>
      <c r="G59" s="16" t="s">
        <v>5</v>
      </c>
      <c r="H59" s="17"/>
      <c r="I59" s="6"/>
      <c r="J59" s="108" t="s">
        <v>5</v>
      </c>
      <c r="K59" s="16"/>
      <c r="L59" s="16" t="s">
        <v>5</v>
      </c>
      <c r="M59" s="16"/>
      <c r="N59" s="16" t="s">
        <v>5</v>
      </c>
      <c r="O59" s="17"/>
      <c r="P59" s="15"/>
      <c r="Q59" s="108" t="s">
        <v>5</v>
      </c>
      <c r="R59" s="16"/>
      <c r="S59" s="16" t="s">
        <v>5</v>
      </c>
      <c r="T59" s="16"/>
      <c r="U59" s="16" t="s">
        <v>5</v>
      </c>
      <c r="V59" s="17"/>
      <c r="W59" s="14"/>
      <c r="X59" s="108" t="s">
        <v>5</v>
      </c>
      <c r="Y59" s="16"/>
      <c r="Z59" s="16" t="s">
        <v>5</v>
      </c>
      <c r="AA59" s="16"/>
      <c r="AB59" s="16" t="s">
        <v>5</v>
      </c>
      <c r="AC59" s="17"/>
      <c r="AD59" s="14"/>
      <c r="AE59" s="108" t="s">
        <v>5</v>
      </c>
      <c r="AF59" s="16"/>
      <c r="AG59" s="16" t="s">
        <v>5</v>
      </c>
      <c r="AH59" s="16"/>
      <c r="AI59" s="16" t="s">
        <v>5</v>
      </c>
      <c r="AJ59" s="17"/>
    </row>
    <row r="60" spans="1:38">
      <c r="A60" s="20" t="s">
        <v>14</v>
      </c>
      <c r="B60" s="57"/>
      <c r="C60" s="7">
        <v>5495</v>
      </c>
      <c r="D60" s="96"/>
      <c r="E60" s="96">
        <v>1086</v>
      </c>
      <c r="F60" s="96"/>
      <c r="G60" s="96">
        <v>6581</v>
      </c>
      <c r="H60" s="4"/>
      <c r="I60" s="96"/>
      <c r="J60" s="7">
        <f t="shared" ref="J60:J65" si="6">+N60-L60</f>
        <v>5501</v>
      </c>
      <c r="K60" s="96"/>
      <c r="L60" s="96">
        <v>1214</v>
      </c>
      <c r="M60" s="96"/>
      <c r="N60" s="96">
        <v>6715</v>
      </c>
      <c r="O60" s="4"/>
      <c r="P60" s="15"/>
      <c r="Q60" s="7">
        <f t="shared" ref="Q60:Q65" si="7">+U60-S60</f>
        <v>6327</v>
      </c>
      <c r="R60" s="96"/>
      <c r="S60" s="96">
        <f>2350-1198</f>
        <v>1152</v>
      </c>
      <c r="T60" s="96"/>
      <c r="U60" s="96">
        <f>14382-6903</f>
        <v>7479</v>
      </c>
      <c r="V60" s="4"/>
      <c r="W60" s="14"/>
      <c r="X60" s="7">
        <f t="shared" ref="X60:X65" si="8">+AB60-Z60</f>
        <v>5705</v>
      </c>
      <c r="Y60" s="96"/>
      <c r="Z60" s="14">
        <v>1198</v>
      </c>
      <c r="AA60" s="96"/>
      <c r="AB60" s="5">
        <v>6903</v>
      </c>
      <c r="AC60" s="4"/>
      <c r="AD60" s="14"/>
      <c r="AE60" s="144">
        <f t="shared" ref="AE60:AE65" si="9">+C60+J60+Q60+X60</f>
        <v>23028</v>
      </c>
      <c r="AF60" s="145"/>
      <c r="AG60" s="145">
        <f t="shared" ref="AG60:AG65" si="10">+E60+L60+S60+Z60</f>
        <v>4650</v>
      </c>
      <c r="AH60" s="145"/>
      <c r="AI60" s="145">
        <f t="shared" ref="AI60:AI65" si="11">+G60+N60+U60+AB60</f>
        <v>27678</v>
      </c>
      <c r="AJ60" s="146"/>
    </row>
    <row r="61" spans="1:38" ht="16.5" customHeight="1">
      <c r="A61" s="132" t="s">
        <v>166</v>
      </c>
      <c r="B61" s="20"/>
      <c r="C61" s="3">
        <v>176</v>
      </c>
      <c r="D61" s="34"/>
      <c r="E61" s="34">
        <v>0</v>
      </c>
      <c r="F61" s="34"/>
      <c r="G61" s="34">
        <v>176</v>
      </c>
      <c r="H61" s="1"/>
      <c r="I61" s="34"/>
      <c r="J61" s="7">
        <f t="shared" si="6"/>
        <v>165</v>
      </c>
      <c r="K61" s="34"/>
      <c r="L61" s="34"/>
      <c r="M61" s="34"/>
      <c r="N61" s="34">
        <v>165</v>
      </c>
      <c r="O61" s="1"/>
      <c r="P61" s="15"/>
      <c r="Q61" s="7">
        <f t="shared" si="7"/>
        <v>251</v>
      </c>
      <c r="R61" s="34"/>
      <c r="S61" s="34"/>
      <c r="T61" s="34"/>
      <c r="U61" s="34">
        <v>251</v>
      </c>
      <c r="V61" s="1"/>
      <c r="W61" s="14"/>
      <c r="X61" s="7">
        <f t="shared" si="8"/>
        <v>230</v>
      </c>
      <c r="Y61" s="34"/>
      <c r="Z61" s="14">
        <v>0</v>
      </c>
      <c r="AA61" s="34"/>
      <c r="AB61" s="98">
        <v>230</v>
      </c>
      <c r="AC61" s="1"/>
      <c r="AD61" s="14"/>
      <c r="AE61" s="7">
        <f t="shared" si="9"/>
        <v>822</v>
      </c>
      <c r="AF61" s="96"/>
      <c r="AG61" s="96">
        <f t="shared" si="10"/>
        <v>0</v>
      </c>
      <c r="AH61" s="96"/>
      <c r="AI61" s="96">
        <f t="shared" si="11"/>
        <v>822</v>
      </c>
      <c r="AJ61" s="1"/>
    </row>
    <row r="62" spans="1:38">
      <c r="A62" s="131" t="s">
        <v>167</v>
      </c>
      <c r="B62" s="59"/>
      <c r="C62" s="2">
        <f>+G62-E62</f>
        <v>53869</v>
      </c>
      <c r="D62" s="129"/>
      <c r="E62" s="129">
        <v>10267</v>
      </c>
      <c r="F62" s="129"/>
      <c r="G62" s="129">
        <f>63315+821</f>
        <v>64136</v>
      </c>
      <c r="H62" s="134"/>
      <c r="I62" s="129"/>
      <c r="J62" s="7">
        <f t="shared" si="6"/>
        <v>52055</v>
      </c>
      <c r="K62" s="129"/>
      <c r="L62" s="129">
        <v>11350</v>
      </c>
      <c r="M62" s="129"/>
      <c r="N62" s="129">
        <f>62672+733</f>
        <v>63405</v>
      </c>
      <c r="O62" s="134"/>
      <c r="P62" s="15"/>
      <c r="Q62" s="7">
        <f t="shared" si="7"/>
        <v>61597</v>
      </c>
      <c r="R62" s="129"/>
      <c r="S62" s="129">
        <f>22408-11477+14</f>
        <v>10945</v>
      </c>
      <c r="T62" s="129"/>
      <c r="U62" s="129">
        <f>137830+47-66433+1105-7</f>
        <v>72542</v>
      </c>
      <c r="V62" s="134"/>
      <c r="W62" s="14"/>
      <c r="X62" s="7">
        <f t="shared" si="8"/>
        <v>55970</v>
      </c>
      <c r="Y62" s="129"/>
      <c r="Z62" s="98">
        <f>11467+10</f>
        <v>11477</v>
      </c>
      <c r="AA62" s="129"/>
      <c r="AB62" s="98">
        <f>66408+1039</f>
        <v>67447</v>
      </c>
      <c r="AC62" s="134"/>
      <c r="AD62" s="14"/>
      <c r="AE62" s="7">
        <f t="shared" si="9"/>
        <v>223491</v>
      </c>
      <c r="AF62" s="96"/>
      <c r="AG62" s="96">
        <f t="shared" si="10"/>
        <v>44039</v>
      </c>
      <c r="AH62" s="96"/>
      <c r="AI62" s="96">
        <f t="shared" si="11"/>
        <v>267530</v>
      </c>
      <c r="AJ62" s="134"/>
      <c r="AK62">
        <v>263857</v>
      </c>
      <c r="AL62" s="153">
        <f>+AI62-AK62</f>
        <v>3673</v>
      </c>
    </row>
    <row r="63" spans="1:38">
      <c r="A63" s="31" t="s">
        <v>15</v>
      </c>
      <c r="B63" s="59"/>
      <c r="C63" s="2">
        <f>+G63-E63</f>
        <v>-53290</v>
      </c>
      <c r="D63" s="129"/>
      <c r="E63" s="129">
        <v>-11666</v>
      </c>
      <c r="F63" s="129"/>
      <c r="G63" s="129">
        <f>-64135-821</f>
        <v>-64956</v>
      </c>
      <c r="H63" s="134"/>
      <c r="I63" s="129"/>
      <c r="J63" s="7">
        <f t="shared" si="6"/>
        <v>-52787</v>
      </c>
      <c r="K63" s="129"/>
      <c r="L63" s="129">
        <v>-12762</v>
      </c>
      <c r="M63" s="129"/>
      <c r="N63" s="129">
        <f>-64762-733-54</f>
        <v>-65549</v>
      </c>
      <c r="O63" s="134"/>
      <c r="P63" s="15"/>
      <c r="Q63" s="7">
        <f t="shared" si="7"/>
        <v>-57798</v>
      </c>
      <c r="R63" s="129"/>
      <c r="S63" s="129">
        <f>-23118+11659</f>
        <v>-11459</v>
      </c>
      <c r="T63" s="129"/>
      <c r="U63" s="129">
        <f>-132594+99+42+64294-1105+7</f>
        <v>-69257</v>
      </c>
      <c r="V63" s="134"/>
      <c r="W63" s="14"/>
      <c r="X63" s="7">
        <f t="shared" si="8"/>
        <v>-53649</v>
      </c>
      <c r="Y63" s="129"/>
      <c r="Z63" s="98">
        <v>-11659</v>
      </c>
      <c r="AA63" s="129"/>
      <c r="AB63" s="98">
        <f>-65252-77+22-1</f>
        <v>-65308</v>
      </c>
      <c r="AC63" s="134"/>
      <c r="AD63" s="14"/>
      <c r="AE63" s="7">
        <f t="shared" si="9"/>
        <v>-217524</v>
      </c>
      <c r="AF63" s="96"/>
      <c r="AG63" s="96">
        <f t="shared" si="10"/>
        <v>-47546</v>
      </c>
      <c r="AH63" s="96"/>
      <c r="AI63" s="96">
        <f t="shared" si="11"/>
        <v>-265070</v>
      </c>
      <c r="AJ63" s="134"/>
      <c r="AK63">
        <v>-261397</v>
      </c>
      <c r="AL63" s="153">
        <f>+AI63-AK63</f>
        <v>-3673</v>
      </c>
    </row>
    <row r="64" spans="1:38" s="163" customFormat="1">
      <c r="A64" s="154" t="s">
        <v>151</v>
      </c>
      <c r="B64" s="155"/>
      <c r="C64" s="156">
        <f>+G64-E64</f>
        <v>0</v>
      </c>
      <c r="D64" s="157"/>
      <c r="E64" s="157">
        <v>2821</v>
      </c>
      <c r="F64" s="157"/>
      <c r="G64" s="157">
        <v>2821</v>
      </c>
      <c r="H64" s="158"/>
      <c r="I64" s="157"/>
      <c r="J64" s="159">
        <f t="shared" si="6"/>
        <v>0</v>
      </c>
      <c r="K64" s="157"/>
      <c r="L64" s="157">
        <v>-10817</v>
      </c>
      <c r="M64" s="157"/>
      <c r="N64" s="157">
        <v>-10817</v>
      </c>
      <c r="O64" s="158"/>
      <c r="P64" s="160"/>
      <c r="Q64" s="159">
        <f t="shared" si="7"/>
        <v>0</v>
      </c>
      <c r="R64" s="157"/>
      <c r="S64" s="157">
        <v>0</v>
      </c>
      <c r="T64" s="157"/>
      <c r="U64" s="157">
        <v>0</v>
      </c>
      <c r="V64" s="158"/>
      <c r="W64" s="154"/>
      <c r="X64" s="159">
        <f t="shared" si="8"/>
        <v>0</v>
      </c>
      <c r="Y64" s="157"/>
      <c r="Z64" s="161"/>
      <c r="AA64" s="157"/>
      <c r="AB64" s="161"/>
      <c r="AC64" s="158"/>
      <c r="AD64" s="154"/>
      <c r="AE64" s="159">
        <f t="shared" si="9"/>
        <v>0</v>
      </c>
      <c r="AF64" s="162"/>
      <c r="AG64" s="162">
        <f t="shared" si="10"/>
        <v>-7996</v>
      </c>
      <c r="AH64" s="162"/>
      <c r="AI64" s="162">
        <f t="shared" si="11"/>
        <v>-7996</v>
      </c>
      <c r="AJ64" s="158"/>
    </row>
    <row r="65" spans="1:36">
      <c r="A65" s="31" t="s">
        <v>17</v>
      </c>
      <c r="B65" s="63"/>
      <c r="C65" s="135">
        <f>+G65-E65</f>
        <v>289</v>
      </c>
      <c r="D65" s="114"/>
      <c r="E65" s="114">
        <v>17</v>
      </c>
      <c r="F65" s="114"/>
      <c r="G65" s="114">
        <v>306</v>
      </c>
      <c r="H65" s="136"/>
      <c r="I65" s="129"/>
      <c r="J65" s="137">
        <f t="shared" si="6"/>
        <v>131</v>
      </c>
      <c r="K65" s="114"/>
      <c r="L65" s="114">
        <v>0</v>
      </c>
      <c r="M65" s="114"/>
      <c r="N65" s="114">
        <v>131</v>
      </c>
      <c r="O65" s="136"/>
      <c r="P65" s="15"/>
      <c r="Q65" s="137">
        <f t="shared" si="7"/>
        <v>250</v>
      </c>
      <c r="R65" s="114"/>
      <c r="S65" s="114">
        <v>0</v>
      </c>
      <c r="T65" s="114"/>
      <c r="U65" s="114">
        <f>1086-836</f>
        <v>250</v>
      </c>
      <c r="V65" s="136"/>
      <c r="W65" s="14"/>
      <c r="X65" s="137">
        <f t="shared" si="8"/>
        <v>836</v>
      </c>
      <c r="Y65" s="114"/>
      <c r="Z65" s="114">
        <v>0</v>
      </c>
      <c r="AA65" s="114"/>
      <c r="AB65" s="114">
        <v>836</v>
      </c>
      <c r="AC65" s="136"/>
      <c r="AD65" s="14"/>
      <c r="AE65" s="137">
        <f t="shared" si="9"/>
        <v>1506</v>
      </c>
      <c r="AF65" s="138"/>
      <c r="AG65" s="138">
        <f t="shared" si="10"/>
        <v>17</v>
      </c>
      <c r="AH65" s="138"/>
      <c r="AI65" s="138">
        <f t="shared" si="11"/>
        <v>1523</v>
      </c>
      <c r="AJ65" s="136"/>
    </row>
    <row r="66" spans="1:36">
      <c r="A66" s="31" t="s">
        <v>18</v>
      </c>
      <c r="B66" s="61"/>
      <c r="C66" s="139">
        <f>SUM(C62:C65)</f>
        <v>868</v>
      </c>
      <c r="D66" s="99"/>
      <c r="E66" s="99">
        <f>SUM(E62:E65)</f>
        <v>1439</v>
      </c>
      <c r="F66" s="99"/>
      <c r="G66" s="99">
        <f>SUM(G62:G65)</f>
        <v>2307</v>
      </c>
      <c r="H66" s="140"/>
      <c r="I66" s="99"/>
      <c r="J66" s="139">
        <f>SUM(J62:J65)</f>
        <v>-601</v>
      </c>
      <c r="K66" s="99"/>
      <c r="L66" s="99">
        <f>SUM(L62:L65)</f>
        <v>-12229</v>
      </c>
      <c r="M66" s="99"/>
      <c r="N66" s="99">
        <f>SUM(N62:N65)</f>
        <v>-12830</v>
      </c>
      <c r="O66" s="140"/>
      <c r="P66" s="15"/>
      <c r="Q66" s="139">
        <f>SUM(Q62:Q65)</f>
        <v>4049</v>
      </c>
      <c r="R66" s="99"/>
      <c r="S66" s="99">
        <f>SUM(S62:S65)</f>
        <v>-514</v>
      </c>
      <c r="T66" s="99"/>
      <c r="U66" s="99">
        <f>SUM(U62:U65)</f>
        <v>3535</v>
      </c>
      <c r="V66" s="140"/>
      <c r="W66" s="14"/>
      <c r="X66" s="139">
        <f>SUM(X62:X65)</f>
        <v>3157</v>
      </c>
      <c r="Y66" s="99"/>
      <c r="Z66" s="115">
        <f>SUM(Z62:Z65)</f>
        <v>-182</v>
      </c>
      <c r="AA66" s="99"/>
      <c r="AB66" s="115">
        <f>SUM(AB62:AB65)</f>
        <v>2975</v>
      </c>
      <c r="AC66" s="140"/>
      <c r="AD66" s="14"/>
      <c r="AE66" s="147">
        <f>SUM(AE62:AE65)</f>
        <v>7473</v>
      </c>
      <c r="AF66" s="148"/>
      <c r="AG66" s="148">
        <f>SUM(AG62:AG65)</f>
        <v>-11486</v>
      </c>
      <c r="AH66" s="148"/>
      <c r="AI66" s="148">
        <f>SUM(AI62:AI65)</f>
        <v>-4013</v>
      </c>
      <c r="AJ66" s="149"/>
    </row>
    <row r="67" spans="1:36" ht="14.25" customHeight="1">
      <c r="A67" s="14" t="s">
        <v>19</v>
      </c>
      <c r="B67" s="59"/>
      <c r="C67" s="135">
        <v>-89</v>
      </c>
      <c r="D67" s="114"/>
      <c r="E67" s="114">
        <v>-12</v>
      </c>
      <c r="F67" s="114"/>
      <c r="G67" s="114">
        <v>-101</v>
      </c>
      <c r="H67" s="136"/>
      <c r="I67" s="129"/>
      <c r="J67" s="135">
        <f>+N67-L67</f>
        <v>-124</v>
      </c>
      <c r="K67" s="114"/>
      <c r="L67" s="114">
        <v>-14</v>
      </c>
      <c r="M67" s="114"/>
      <c r="N67" s="114">
        <v>-138</v>
      </c>
      <c r="O67" s="136"/>
      <c r="P67" s="15"/>
      <c r="Q67" s="135">
        <f>+U67-S67</f>
        <v>-124</v>
      </c>
      <c r="R67" s="114"/>
      <c r="S67" s="114">
        <f>-32+14</f>
        <v>-18</v>
      </c>
      <c r="T67" s="114"/>
      <c r="U67" s="114">
        <f>+-260+118</f>
        <v>-142</v>
      </c>
      <c r="V67" s="136"/>
      <c r="W67" s="14"/>
      <c r="X67" s="135">
        <f>+AB67-Z67</f>
        <v>-104</v>
      </c>
      <c r="Y67" s="114"/>
      <c r="Z67" s="114">
        <v>-14</v>
      </c>
      <c r="AA67" s="114"/>
      <c r="AB67" s="114">
        <v>-118</v>
      </c>
      <c r="AC67" s="136"/>
      <c r="AD67" s="14"/>
      <c r="AE67" s="137">
        <f>+C67+J67+Q67+X67</f>
        <v>-441</v>
      </c>
      <c r="AF67" s="138"/>
      <c r="AG67" s="138">
        <f>+E67+L67+S67+Z67</f>
        <v>-58</v>
      </c>
      <c r="AH67" s="138"/>
      <c r="AI67" s="138">
        <f>+G67+N67+U67+AB67</f>
        <v>-499</v>
      </c>
      <c r="AJ67" s="136"/>
    </row>
    <row r="68" spans="1:36">
      <c r="A68" s="14" t="s">
        <v>20</v>
      </c>
      <c r="B68" s="59"/>
      <c r="C68" s="2">
        <f>+C66+C67</f>
        <v>779</v>
      </c>
      <c r="D68" s="129"/>
      <c r="E68" s="129">
        <f>+E66+E67</f>
        <v>1427</v>
      </c>
      <c r="F68" s="129"/>
      <c r="G68" s="129">
        <f>+G66+G67</f>
        <v>2206</v>
      </c>
      <c r="H68" s="134"/>
      <c r="I68" s="129"/>
      <c r="J68" s="2">
        <f>+J66+J67</f>
        <v>-725</v>
      </c>
      <c r="K68" s="129"/>
      <c r="L68" s="129">
        <f>+L66+L67</f>
        <v>-12243</v>
      </c>
      <c r="M68" s="129"/>
      <c r="N68" s="129">
        <f>+N66+N67</f>
        <v>-12968</v>
      </c>
      <c r="O68" s="134"/>
      <c r="P68" s="15"/>
      <c r="Q68" s="2">
        <f>+Q66+Q67</f>
        <v>3925</v>
      </c>
      <c r="R68" s="129"/>
      <c r="S68" s="129">
        <f>+S66+S67</f>
        <v>-532</v>
      </c>
      <c r="T68" s="129"/>
      <c r="U68" s="129">
        <f>+U66+U67</f>
        <v>3393</v>
      </c>
      <c r="V68" s="134"/>
      <c r="W68" s="14"/>
      <c r="X68" s="2">
        <f>+X66+X67</f>
        <v>3053</v>
      </c>
      <c r="Y68" s="129"/>
      <c r="Z68" s="98">
        <f>SUM(Z66:Z67)</f>
        <v>-196</v>
      </c>
      <c r="AA68" s="129"/>
      <c r="AB68" s="98">
        <f>SUM(AB66:AB67)</f>
        <v>2857</v>
      </c>
      <c r="AC68" s="134"/>
      <c r="AD68" s="14"/>
      <c r="AE68" s="150">
        <f>+AE66+AE67</f>
        <v>7032</v>
      </c>
      <c r="AF68" s="151"/>
      <c r="AG68" s="151">
        <f>SUM(AG66:AG67)</f>
        <v>-11544</v>
      </c>
      <c r="AH68" s="151"/>
      <c r="AI68" s="151">
        <f>SUM(AI66:AI67)</f>
        <v>-4512</v>
      </c>
      <c r="AJ68" s="152"/>
    </row>
    <row r="69" spans="1:36">
      <c r="A69" s="14" t="s">
        <v>21</v>
      </c>
      <c r="B69" s="63"/>
      <c r="C69" s="135">
        <v>-585</v>
      </c>
      <c r="D69" s="114"/>
      <c r="E69" s="114">
        <v>0</v>
      </c>
      <c r="F69" s="114"/>
      <c r="G69" s="114">
        <v>-585</v>
      </c>
      <c r="H69" s="136"/>
      <c r="I69" s="129"/>
      <c r="J69" s="135">
        <f>+N69-L69</f>
        <v>100</v>
      </c>
      <c r="K69" s="114"/>
      <c r="L69" s="114">
        <v>0</v>
      </c>
      <c r="M69" s="114"/>
      <c r="N69" s="114">
        <v>100</v>
      </c>
      <c r="O69" s="136"/>
      <c r="P69" s="15"/>
      <c r="Q69" s="135">
        <f>+U69-S69</f>
        <v>-873</v>
      </c>
      <c r="R69" s="114"/>
      <c r="S69" s="114">
        <v>0</v>
      </c>
      <c r="T69" s="114"/>
      <c r="U69" s="114">
        <f>-1476+603</f>
        <v>-873</v>
      </c>
      <c r="V69" s="136"/>
      <c r="W69" s="14"/>
      <c r="X69" s="135">
        <f>+AB69-Z69</f>
        <v>-603</v>
      </c>
      <c r="Y69" s="114"/>
      <c r="Z69" s="114"/>
      <c r="AA69" s="114"/>
      <c r="AB69" s="114">
        <v>-603</v>
      </c>
      <c r="AC69" s="136"/>
      <c r="AD69" s="14"/>
      <c r="AE69" s="137">
        <f>+C69+J69+Q69+X69</f>
        <v>-1961</v>
      </c>
      <c r="AF69" s="138"/>
      <c r="AG69" s="138">
        <f>+E69+L69+S69+Z69</f>
        <v>0</v>
      </c>
      <c r="AH69" s="138"/>
      <c r="AI69" s="138">
        <f>+G69+N69+U69+AB69</f>
        <v>-1961</v>
      </c>
      <c r="AJ69" s="136"/>
    </row>
    <row r="70" spans="1:36">
      <c r="A70" s="14" t="s">
        <v>22</v>
      </c>
      <c r="B70" s="59"/>
      <c r="C70" s="2">
        <f>SUM(C68:C69)</f>
        <v>194</v>
      </c>
      <c r="D70" s="129"/>
      <c r="E70" s="129">
        <f>SUM(E68:E69)</f>
        <v>1427</v>
      </c>
      <c r="F70" s="129"/>
      <c r="G70" s="129">
        <f>SUM(G68:G69)</f>
        <v>1621</v>
      </c>
      <c r="H70" s="134"/>
      <c r="I70" s="129"/>
      <c r="J70" s="2">
        <f>SUM(J68:J69)</f>
        <v>-625</v>
      </c>
      <c r="K70" s="129"/>
      <c r="L70" s="129">
        <f>SUM(L68:L69)</f>
        <v>-12243</v>
      </c>
      <c r="M70" s="129"/>
      <c r="N70" s="129">
        <f>SUM(N68:N69)</f>
        <v>-12868</v>
      </c>
      <c r="O70" s="134"/>
      <c r="P70" s="15"/>
      <c r="Q70" s="2">
        <f>SUM(Q68:Q69)</f>
        <v>3052</v>
      </c>
      <c r="R70" s="129"/>
      <c r="S70" s="129">
        <f>SUM(S68:S69)</f>
        <v>-532</v>
      </c>
      <c r="T70" s="129"/>
      <c r="U70" s="129">
        <f>SUM(U68:U69)</f>
        <v>2520</v>
      </c>
      <c r="V70" s="134"/>
      <c r="W70" s="14"/>
      <c r="X70" s="2">
        <f>SUM(X68:X69)</f>
        <v>2450</v>
      </c>
      <c r="Y70" s="129"/>
      <c r="Z70" s="98">
        <f>SUM(Z68:Z69)</f>
        <v>-196</v>
      </c>
      <c r="AA70" s="129"/>
      <c r="AB70" s="98">
        <f>SUM(AB68:AB69)</f>
        <v>2254</v>
      </c>
      <c r="AC70" s="134"/>
      <c r="AD70" s="14"/>
      <c r="AE70" s="150">
        <f>SUM(AE68:AE69)</f>
        <v>5071</v>
      </c>
      <c r="AF70" s="151"/>
      <c r="AG70" s="151">
        <f>SUM(AG68:AG69)</f>
        <v>-11544</v>
      </c>
      <c r="AH70" s="151"/>
      <c r="AI70" s="151">
        <f>SUM(AI68:AI69)</f>
        <v>-6473</v>
      </c>
      <c r="AJ70" s="152"/>
    </row>
    <row r="71" spans="1:36">
      <c r="A71" s="14" t="s">
        <v>23</v>
      </c>
      <c r="B71" s="63"/>
      <c r="C71" s="135">
        <v>-229.30612244897964</v>
      </c>
      <c r="D71" s="114"/>
      <c r="E71" s="114">
        <v>0</v>
      </c>
      <c r="F71" s="114"/>
      <c r="G71" s="114">
        <v>-229.30612244897964</v>
      </c>
      <c r="H71" s="136"/>
      <c r="I71" s="129"/>
      <c r="J71" s="135">
        <f>+N71-L71</f>
        <v>33</v>
      </c>
      <c r="K71" s="114"/>
      <c r="L71" s="114">
        <v>0</v>
      </c>
      <c r="M71" s="114"/>
      <c r="N71" s="114">
        <v>33</v>
      </c>
      <c r="O71" s="136"/>
      <c r="P71" s="15"/>
      <c r="Q71" s="135">
        <f>+U71-S71</f>
        <v>-455</v>
      </c>
      <c r="R71" s="114"/>
      <c r="S71" s="114">
        <v>0</v>
      </c>
      <c r="T71" s="114"/>
      <c r="U71" s="114">
        <f>-984+529</f>
        <v>-455</v>
      </c>
      <c r="V71" s="136"/>
      <c r="W71" s="14"/>
      <c r="X71" s="135">
        <f>+AB71-Z71</f>
        <v>-529</v>
      </c>
      <c r="Y71" s="114"/>
      <c r="Z71" s="114">
        <v>0</v>
      </c>
      <c r="AA71" s="114"/>
      <c r="AB71" s="114">
        <v>-529</v>
      </c>
      <c r="AC71" s="136"/>
      <c r="AD71" s="14"/>
      <c r="AE71" s="137">
        <f>+C71+J71+Q71+X71</f>
        <v>-1180.3061224489797</v>
      </c>
      <c r="AF71" s="138"/>
      <c r="AG71" s="138">
        <f>+E71+L71+S71+Z71</f>
        <v>0</v>
      </c>
      <c r="AH71" s="138"/>
      <c r="AI71" s="138">
        <f>+G71+N71+U71+AB71</f>
        <v>-1180.3061224489797</v>
      </c>
      <c r="AJ71" s="136"/>
    </row>
    <row r="72" spans="1:36">
      <c r="A72" s="14" t="s">
        <v>24</v>
      </c>
      <c r="B72" s="59"/>
      <c r="C72" s="2">
        <f>SUM(C70:C71)</f>
        <v>-35.306122448979636</v>
      </c>
      <c r="D72" s="129"/>
      <c r="E72" s="129">
        <f>SUM(E70:E71)</f>
        <v>1427</v>
      </c>
      <c r="F72" s="129"/>
      <c r="G72" s="129">
        <f>SUM(G70:G71)</f>
        <v>1391.6938775510203</v>
      </c>
      <c r="H72" s="134"/>
      <c r="I72" s="129"/>
      <c r="J72" s="2">
        <f>SUM(J70:J71)</f>
        <v>-592</v>
      </c>
      <c r="K72" s="129"/>
      <c r="L72" s="129">
        <f>SUM(L70:L71)</f>
        <v>-12243</v>
      </c>
      <c r="M72" s="129"/>
      <c r="N72" s="129">
        <f>SUM(N70:N71)</f>
        <v>-12835</v>
      </c>
      <c r="O72" s="134"/>
      <c r="P72" s="15"/>
      <c r="Q72" s="2">
        <f>SUM(Q70:Q71)</f>
        <v>2597</v>
      </c>
      <c r="R72" s="129"/>
      <c r="S72" s="129">
        <f>SUM(S70:S71)</f>
        <v>-532</v>
      </c>
      <c r="T72" s="129"/>
      <c r="U72" s="129">
        <f>SUM(U70:U71)</f>
        <v>2065</v>
      </c>
      <c r="V72" s="134"/>
      <c r="W72" s="14"/>
      <c r="X72" s="2">
        <f>SUM(X70:X71)</f>
        <v>1921</v>
      </c>
      <c r="Y72" s="129"/>
      <c r="Z72" s="98">
        <f>SUM(Z70:Z71)</f>
        <v>-196</v>
      </c>
      <c r="AA72" s="129"/>
      <c r="AB72" s="98">
        <f>SUM(AB70:AB71)</f>
        <v>1725</v>
      </c>
      <c r="AC72" s="134"/>
      <c r="AD72" s="14"/>
      <c r="AE72" s="150">
        <f>SUM(AE70:AE71)</f>
        <v>3890.6938775510203</v>
      </c>
      <c r="AF72" s="151"/>
      <c r="AG72" s="151">
        <f>SUM(AG70:AG71)</f>
        <v>-11544</v>
      </c>
      <c r="AH72" s="151"/>
      <c r="AI72" s="151">
        <f>SUM(AI70:AI71)</f>
        <v>-7653.3061224489793</v>
      </c>
      <c r="AJ72" s="152"/>
    </row>
    <row r="73" spans="1:36">
      <c r="A73" s="12"/>
      <c r="B73" s="60"/>
      <c r="C73" s="135"/>
      <c r="D73" s="114"/>
      <c r="E73" s="114"/>
      <c r="F73" s="114"/>
      <c r="G73" s="114"/>
      <c r="H73" s="134"/>
      <c r="I73" s="129"/>
      <c r="J73" s="135"/>
      <c r="K73" s="114"/>
      <c r="L73" s="114"/>
      <c r="M73" s="114"/>
      <c r="N73" s="114"/>
      <c r="O73" s="134"/>
      <c r="P73" s="15"/>
      <c r="Q73" s="135"/>
      <c r="R73" s="114"/>
      <c r="S73" s="114"/>
      <c r="T73" s="114"/>
      <c r="U73" s="114"/>
      <c r="V73" s="134"/>
      <c r="W73" s="14"/>
      <c r="X73" s="141"/>
      <c r="Y73" s="142"/>
      <c r="Z73" s="142"/>
      <c r="AA73" s="142"/>
      <c r="AB73" s="142"/>
      <c r="AC73" s="143"/>
      <c r="AD73" s="14"/>
      <c r="AE73" s="135"/>
      <c r="AF73" s="114"/>
      <c r="AG73" s="114"/>
      <c r="AH73" s="114"/>
      <c r="AI73" s="114"/>
      <c r="AJ73" s="136"/>
    </row>
    <row r="74" spans="1:36">
      <c r="C74" s="102"/>
      <c r="D74" s="15"/>
      <c r="E74" s="15"/>
      <c r="F74" s="15"/>
      <c r="G74" s="15"/>
      <c r="H74" s="38"/>
      <c r="I74" s="15"/>
      <c r="J74" s="102"/>
      <c r="K74" s="15"/>
      <c r="L74" s="15"/>
      <c r="M74" s="15"/>
      <c r="N74" s="15"/>
      <c r="O74" s="38"/>
      <c r="P74" s="15"/>
      <c r="Q74" s="102"/>
      <c r="R74" s="15"/>
      <c r="S74" s="15"/>
      <c r="T74" s="15"/>
      <c r="U74" s="15"/>
      <c r="V74" s="38"/>
      <c r="W74" s="14"/>
      <c r="X74" s="102"/>
      <c r="Y74" s="15"/>
      <c r="Z74" s="15"/>
      <c r="AA74" s="15"/>
      <c r="AB74" s="14"/>
      <c r="AC74" s="38"/>
      <c r="AD74" s="14"/>
      <c r="AE74" s="102"/>
      <c r="AF74" s="15"/>
      <c r="AG74" s="15"/>
      <c r="AH74" s="15"/>
      <c r="AI74" s="15"/>
      <c r="AJ74" s="38"/>
    </row>
    <row r="75" spans="1:36">
      <c r="A75" t="s">
        <v>168</v>
      </c>
      <c r="C75" s="105">
        <v>821</v>
      </c>
      <c r="D75" s="95"/>
      <c r="E75" s="95"/>
      <c r="F75" s="95"/>
      <c r="G75" s="95">
        <v>821</v>
      </c>
      <c r="H75" s="41"/>
      <c r="I75" s="15"/>
      <c r="J75" s="105">
        <v>733</v>
      </c>
      <c r="K75" s="95"/>
      <c r="L75" s="95"/>
      <c r="M75" s="95"/>
      <c r="N75" s="95">
        <v>733</v>
      </c>
      <c r="O75" s="41"/>
      <c r="P75" s="15"/>
      <c r="Q75" s="105">
        <v>1105</v>
      </c>
      <c r="R75" s="95"/>
      <c r="S75" s="95"/>
      <c r="T75" s="95"/>
      <c r="U75" s="95">
        <v>1105</v>
      </c>
      <c r="V75" s="41"/>
      <c r="W75" s="14"/>
      <c r="X75" s="105">
        <v>1105</v>
      </c>
      <c r="Y75" s="95"/>
      <c r="Z75" s="95"/>
      <c r="AA75" s="95"/>
      <c r="AB75" s="114">
        <v>1014</v>
      </c>
      <c r="AC75" s="41"/>
      <c r="AD75" s="14"/>
      <c r="AE75" s="137">
        <f>+C75+J75+Q75+X75</f>
        <v>3764</v>
      </c>
      <c r="AF75" s="138"/>
      <c r="AG75" s="138">
        <f>+E75+L75+S75+Z75</f>
        <v>0</v>
      </c>
      <c r="AH75" s="138"/>
      <c r="AI75" s="138">
        <f>+G75+N75+U75+AB75</f>
        <v>3673</v>
      </c>
      <c r="AJ75" s="41"/>
    </row>
  </sheetData>
  <phoneticPr fontId="0" type="noConversion"/>
  <pageMargins left="0.26" right="0.28999999999999998" top="1" bottom="1" header="0.5" footer="0.5"/>
  <pageSetup scale="48" orientation="landscape" blackAndWhite="1" horizontalDpi="1200" verticalDpi="1200" r:id="rId1"/>
  <headerFooter alignWithMargins="0">
    <oddFooter>&amp;L&amp;D&amp;F&amp;A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M78"/>
  <sheetViews>
    <sheetView workbookViewId="0"/>
  </sheetViews>
  <sheetFormatPr defaultRowHeight="12.75"/>
  <cols>
    <col min="1" max="1" width="34.7109375" customWidth="1"/>
    <col min="2" max="2" width="13" customWidth="1"/>
    <col min="3" max="6" width="12.5703125" customWidth="1"/>
    <col min="7" max="7" width="13.42578125" customWidth="1"/>
    <col min="8" max="8" width="2.7109375" customWidth="1"/>
    <col min="9" max="9" width="12" customWidth="1"/>
    <col min="10" max="10" width="11.42578125" customWidth="1"/>
    <col min="11" max="13" width="13" customWidth="1"/>
    <col min="14" max="14" width="11.140625" customWidth="1"/>
    <col min="15" max="15" width="2.7109375" customWidth="1"/>
    <col min="20" max="21" width="11.140625" customWidth="1"/>
    <col min="22" max="22" width="2.7109375" customWidth="1"/>
    <col min="29" max="29" width="2.7109375" customWidth="1"/>
    <col min="30" max="30" width="16.7109375" customWidth="1"/>
    <col min="31" max="31" width="2.7109375" customWidth="1"/>
    <col min="32" max="32" width="16.7109375" customWidth="1"/>
    <col min="33" max="33" width="2.7109375" customWidth="1"/>
    <col min="34" max="35" width="8.7109375" customWidth="1"/>
    <col min="36" max="36" width="2.7109375" style="32" customWidth="1"/>
    <col min="37" max="42" width="8.7109375" style="32" customWidth="1"/>
    <col min="43" max="43" width="2.7109375" style="32" customWidth="1"/>
    <col min="44" max="47" width="8.7109375" style="32" customWidth="1"/>
    <col min="48" max="49" width="8.7109375" customWidth="1"/>
    <col min="50" max="50" width="2.7109375" customWidth="1"/>
    <col min="51" max="56" width="8.7109375" customWidth="1"/>
    <col min="57" max="57" width="2.7109375" customWidth="1"/>
    <col min="58" max="63" width="9.7109375" customWidth="1"/>
  </cols>
  <sheetData>
    <row r="1" spans="1:65" ht="12.75" customHeight="1">
      <c r="A1" s="12" t="s">
        <v>146</v>
      </c>
      <c r="B1" s="12"/>
      <c r="C1" s="12"/>
      <c r="D1" s="12"/>
      <c r="E1" s="12"/>
      <c r="F1" s="12"/>
      <c r="G1" s="12"/>
      <c r="H1" s="12"/>
    </row>
    <row r="2" spans="1:65" ht="12.75" customHeight="1">
      <c r="A2" s="12"/>
      <c r="B2" s="12"/>
      <c r="C2" s="12"/>
      <c r="D2" s="12"/>
      <c r="E2" s="12"/>
      <c r="F2" s="12"/>
      <c r="G2" s="12"/>
      <c r="H2" s="12"/>
    </row>
    <row r="3" spans="1:65" ht="12.75" customHeight="1" thickBot="1">
      <c r="A3" s="12"/>
      <c r="H3" s="12"/>
      <c r="I3" s="12" t="s">
        <v>87</v>
      </c>
      <c r="J3" s="12"/>
      <c r="K3" s="12"/>
      <c r="L3" s="12" t="s">
        <v>84</v>
      </c>
      <c r="M3" s="12"/>
      <c r="N3" s="12"/>
      <c r="O3" s="12"/>
      <c r="P3" s="12" t="s">
        <v>86</v>
      </c>
      <c r="Q3" s="12"/>
      <c r="R3" s="12"/>
      <c r="S3" s="12" t="s">
        <v>84</v>
      </c>
      <c r="T3" s="12"/>
      <c r="U3" s="12"/>
      <c r="V3" s="12"/>
      <c r="W3" s="12" t="s">
        <v>85</v>
      </c>
      <c r="X3" s="12"/>
      <c r="Y3" s="12"/>
      <c r="Z3" s="12" t="s">
        <v>84</v>
      </c>
      <c r="AA3" s="12"/>
      <c r="AB3" s="12"/>
      <c r="AC3" s="12"/>
      <c r="AD3" s="45" t="s">
        <v>140</v>
      </c>
      <c r="AE3" s="101"/>
      <c r="AF3" s="101" t="s">
        <v>169</v>
      </c>
      <c r="AG3" s="101"/>
      <c r="AH3" s="101"/>
      <c r="AI3" s="40"/>
      <c r="AJ3" s="15"/>
      <c r="AK3" s="45" t="s">
        <v>139</v>
      </c>
      <c r="AL3" s="101"/>
      <c r="AM3" s="101" t="s">
        <v>169</v>
      </c>
      <c r="AN3" s="101"/>
      <c r="AO3" s="101"/>
      <c r="AP3" s="40"/>
      <c r="AQ3" s="15"/>
      <c r="AR3" s="45" t="s">
        <v>138</v>
      </c>
      <c r="AS3" s="101"/>
      <c r="AT3" s="101" t="s">
        <v>169</v>
      </c>
      <c r="AU3" s="101"/>
      <c r="AV3" s="101"/>
      <c r="AW3" s="40"/>
      <c r="AX3" s="14"/>
      <c r="AY3" s="45" t="s">
        <v>137</v>
      </c>
      <c r="AZ3" s="101"/>
      <c r="BA3" s="101" t="s">
        <v>169</v>
      </c>
      <c r="BB3" s="101"/>
      <c r="BC3" s="101"/>
      <c r="BD3" s="40"/>
      <c r="BE3" s="14"/>
      <c r="BF3" s="45" t="s">
        <v>172</v>
      </c>
      <c r="BG3" s="101"/>
      <c r="BH3" s="101" t="s">
        <v>169</v>
      </c>
      <c r="BI3" s="101"/>
      <c r="BJ3" s="101"/>
      <c r="BK3" s="40"/>
    </row>
    <row r="4" spans="1:65" ht="12.75" customHeight="1">
      <c r="A4" s="12"/>
      <c r="B4" s="109" t="s">
        <v>147</v>
      </c>
      <c r="C4" s="110"/>
      <c r="D4" s="109" t="s">
        <v>148</v>
      </c>
      <c r="E4" s="110"/>
      <c r="F4" s="109" t="s">
        <v>149</v>
      </c>
      <c r="G4" s="110"/>
      <c r="I4" s="109" t="s">
        <v>147</v>
      </c>
      <c r="J4" s="110"/>
      <c r="K4" s="109" t="s">
        <v>148</v>
      </c>
      <c r="L4" s="110"/>
      <c r="M4" s="109" t="s">
        <v>149</v>
      </c>
      <c r="N4" s="110"/>
      <c r="O4" s="44"/>
      <c r="P4" s="109" t="s">
        <v>147</v>
      </c>
      <c r="Q4" s="110"/>
      <c r="R4" s="109" t="s">
        <v>148</v>
      </c>
      <c r="S4" s="110"/>
      <c r="T4" s="109" t="s">
        <v>149</v>
      </c>
      <c r="U4" s="110"/>
      <c r="V4" s="44"/>
      <c r="W4" s="109" t="s">
        <v>147</v>
      </c>
      <c r="X4" s="110"/>
      <c r="Y4" s="109" t="s">
        <v>148</v>
      </c>
      <c r="Z4" s="110"/>
      <c r="AA4" s="109" t="s">
        <v>149</v>
      </c>
      <c r="AB4" s="110"/>
      <c r="AC4" s="44"/>
      <c r="AD4" s="39" t="s">
        <v>147</v>
      </c>
      <c r="AE4" s="101"/>
      <c r="AF4" s="101" t="s">
        <v>148</v>
      </c>
      <c r="AG4" s="101"/>
      <c r="AH4" s="101" t="s">
        <v>149</v>
      </c>
      <c r="AI4" s="40"/>
      <c r="AJ4" s="15"/>
      <c r="AK4" s="39" t="s">
        <v>147</v>
      </c>
      <c r="AL4" s="101"/>
      <c r="AM4" s="101" t="s">
        <v>148</v>
      </c>
      <c r="AN4" s="101"/>
      <c r="AO4" s="101" t="s">
        <v>149</v>
      </c>
      <c r="AP4" s="40"/>
      <c r="AQ4" s="15"/>
      <c r="AR4" s="39" t="s">
        <v>147</v>
      </c>
      <c r="AS4" s="101"/>
      <c r="AT4" s="101" t="s">
        <v>148</v>
      </c>
      <c r="AU4" s="101"/>
      <c r="AV4" s="101" t="s">
        <v>149</v>
      </c>
      <c r="AW4" s="40"/>
      <c r="AX4" s="14"/>
      <c r="AY4" s="39" t="s">
        <v>147</v>
      </c>
      <c r="AZ4" s="101"/>
      <c r="BA4" s="101" t="s">
        <v>148</v>
      </c>
      <c r="BB4" s="101"/>
      <c r="BC4" s="101" t="s">
        <v>149</v>
      </c>
      <c r="BD4" s="40"/>
      <c r="BE4" s="14"/>
      <c r="BF4" s="39" t="s">
        <v>147</v>
      </c>
      <c r="BG4" s="101"/>
      <c r="BH4" s="101" t="s">
        <v>148</v>
      </c>
      <c r="BI4" s="101"/>
      <c r="BJ4" s="101" t="s">
        <v>173</v>
      </c>
      <c r="BK4" s="40"/>
    </row>
    <row r="5" spans="1:65" ht="12.75" customHeight="1">
      <c r="A5" s="12"/>
      <c r="B5" s="111" t="s">
        <v>182</v>
      </c>
      <c r="C5" s="112"/>
      <c r="D5" s="111" t="s">
        <v>182</v>
      </c>
      <c r="E5" s="112"/>
      <c r="F5" s="111" t="s">
        <v>8</v>
      </c>
      <c r="G5" s="112"/>
      <c r="I5" s="111" t="s">
        <v>170</v>
      </c>
      <c r="J5" s="112"/>
      <c r="K5" s="111" t="s">
        <v>170</v>
      </c>
      <c r="L5" s="112"/>
      <c r="M5" s="111" t="s">
        <v>142</v>
      </c>
      <c r="N5" s="112"/>
      <c r="O5" s="44"/>
      <c r="P5" s="111" t="s">
        <v>171</v>
      </c>
      <c r="Q5" s="112"/>
      <c r="R5" s="111" t="s">
        <v>171</v>
      </c>
      <c r="S5" s="112"/>
      <c r="T5" s="111" t="s">
        <v>179</v>
      </c>
      <c r="U5" s="112"/>
      <c r="V5" s="44"/>
      <c r="W5" s="111" t="s">
        <v>163</v>
      </c>
      <c r="X5" s="112"/>
      <c r="Y5" s="111" t="s">
        <v>163</v>
      </c>
      <c r="Z5" s="112"/>
      <c r="AA5" s="111" t="s">
        <v>163</v>
      </c>
      <c r="AB5" s="112"/>
      <c r="AC5" s="44"/>
      <c r="AD5" s="102" t="s">
        <v>165</v>
      </c>
      <c r="AE5" s="15"/>
      <c r="AF5" s="15" t="s">
        <v>165</v>
      </c>
      <c r="AG5" s="15"/>
      <c r="AH5" s="15" t="s">
        <v>165</v>
      </c>
      <c r="AI5" s="38"/>
      <c r="AJ5" s="15"/>
      <c r="AK5" s="102" t="s">
        <v>170</v>
      </c>
      <c r="AL5" s="15"/>
      <c r="AM5" s="15" t="s">
        <v>170</v>
      </c>
      <c r="AN5" s="15"/>
      <c r="AO5" s="15" t="s">
        <v>170</v>
      </c>
      <c r="AP5" s="38"/>
      <c r="AQ5" s="15"/>
      <c r="AR5" s="102" t="s">
        <v>171</v>
      </c>
      <c r="AS5" s="15"/>
      <c r="AT5" s="15" t="s">
        <v>171</v>
      </c>
      <c r="AU5" s="15"/>
      <c r="AV5" s="15" t="s">
        <v>171</v>
      </c>
      <c r="AW5" s="38"/>
      <c r="AX5" s="14"/>
      <c r="AY5" s="102" t="s">
        <v>163</v>
      </c>
      <c r="AZ5" s="15"/>
      <c r="BA5" s="15" t="s">
        <v>163</v>
      </c>
      <c r="BB5" s="15"/>
      <c r="BC5" s="15" t="s">
        <v>163</v>
      </c>
      <c r="BD5" s="38"/>
      <c r="BE5" s="14"/>
      <c r="BF5" s="102"/>
      <c r="BG5" s="15"/>
      <c r="BH5" s="15"/>
      <c r="BI5" s="15"/>
      <c r="BJ5" s="15"/>
      <c r="BK5" s="38"/>
    </row>
    <row r="6" spans="1:65" ht="12.75" customHeight="1">
      <c r="A6" s="12"/>
      <c r="B6" s="47">
        <v>2004</v>
      </c>
      <c r="C6" s="50">
        <v>2003</v>
      </c>
      <c r="D6" s="47">
        <v>2004</v>
      </c>
      <c r="E6" s="50">
        <v>2003</v>
      </c>
      <c r="F6" s="47">
        <v>2004</v>
      </c>
      <c r="G6" s="50">
        <v>2003</v>
      </c>
      <c r="I6" s="47">
        <v>2004</v>
      </c>
      <c r="J6" s="50">
        <v>2003</v>
      </c>
      <c r="K6" s="47">
        <v>2004</v>
      </c>
      <c r="L6" s="50">
        <v>2003</v>
      </c>
      <c r="M6" s="47">
        <v>2004</v>
      </c>
      <c r="N6" s="50">
        <v>2003</v>
      </c>
      <c r="O6" s="49"/>
      <c r="P6" s="47">
        <v>2004</v>
      </c>
      <c r="Q6" s="50">
        <v>2003</v>
      </c>
      <c r="R6" s="47">
        <v>2004</v>
      </c>
      <c r="S6" s="50">
        <v>2003</v>
      </c>
      <c r="T6" s="47">
        <v>2004</v>
      </c>
      <c r="U6" s="50">
        <v>2003</v>
      </c>
      <c r="V6" s="49"/>
      <c r="W6" s="47">
        <v>2004</v>
      </c>
      <c r="X6" s="50">
        <v>2003</v>
      </c>
      <c r="Y6" s="47">
        <v>2004</v>
      </c>
      <c r="Z6" s="50">
        <v>2003</v>
      </c>
      <c r="AA6" s="47">
        <v>2004</v>
      </c>
      <c r="AB6" s="50">
        <v>2003</v>
      </c>
      <c r="AC6" s="49"/>
      <c r="AD6" s="133">
        <v>2003</v>
      </c>
      <c r="AE6" s="42"/>
      <c r="AF6" s="106">
        <v>2003</v>
      </c>
      <c r="AG6" s="42"/>
      <c r="AH6" s="106">
        <v>2003</v>
      </c>
      <c r="AI6" s="107"/>
      <c r="AJ6" s="42"/>
      <c r="AK6" s="133">
        <v>2003</v>
      </c>
      <c r="AL6" s="42"/>
      <c r="AM6" s="106">
        <v>2003</v>
      </c>
      <c r="AN6" s="42"/>
      <c r="AO6" s="106">
        <v>2003</v>
      </c>
      <c r="AP6" s="107"/>
      <c r="AQ6" s="15"/>
      <c r="AR6" s="133">
        <v>2003</v>
      </c>
      <c r="AS6" s="42"/>
      <c r="AT6" s="106">
        <v>2003</v>
      </c>
      <c r="AU6" s="42"/>
      <c r="AV6" s="106">
        <v>2003</v>
      </c>
      <c r="AW6" s="107"/>
      <c r="AX6" s="14"/>
      <c r="AY6" s="133">
        <v>2003</v>
      </c>
      <c r="AZ6" s="42"/>
      <c r="BA6" s="106">
        <v>2003</v>
      </c>
      <c r="BB6" s="42"/>
      <c r="BC6" s="106">
        <v>2003</v>
      </c>
      <c r="BD6" s="107"/>
      <c r="BE6" s="14"/>
      <c r="BF6" s="133">
        <v>2003</v>
      </c>
      <c r="BG6" s="42"/>
      <c r="BH6" s="106">
        <v>2003</v>
      </c>
      <c r="BI6" s="42"/>
      <c r="BJ6" s="106">
        <v>2003</v>
      </c>
      <c r="BK6" s="107"/>
    </row>
    <row r="7" spans="1:65" ht="12.75" customHeight="1" thickBot="1">
      <c r="A7" s="113" t="s">
        <v>150</v>
      </c>
      <c r="B7" s="52" t="s">
        <v>5</v>
      </c>
      <c r="C7" s="55" t="s">
        <v>5</v>
      </c>
      <c r="D7" s="52" t="s">
        <v>5</v>
      </c>
      <c r="E7" s="55" t="s">
        <v>5</v>
      </c>
      <c r="F7" s="52" t="s">
        <v>5</v>
      </c>
      <c r="G7" s="55" t="s">
        <v>5</v>
      </c>
      <c r="I7" s="52" t="s">
        <v>5</v>
      </c>
      <c r="J7" s="55" t="s">
        <v>5</v>
      </c>
      <c r="K7" s="52" t="s">
        <v>5</v>
      </c>
      <c r="L7" s="55" t="s">
        <v>5</v>
      </c>
      <c r="M7" s="52" t="s">
        <v>5</v>
      </c>
      <c r="N7" s="55" t="s">
        <v>5</v>
      </c>
      <c r="O7" s="100"/>
      <c r="P7" s="52" t="s">
        <v>5</v>
      </c>
      <c r="Q7" s="55" t="s">
        <v>5</v>
      </c>
      <c r="R7" s="52" t="s">
        <v>5</v>
      </c>
      <c r="S7" s="55" t="s">
        <v>5</v>
      </c>
      <c r="T7" s="52" t="s">
        <v>5</v>
      </c>
      <c r="U7" s="55" t="s">
        <v>5</v>
      </c>
      <c r="V7" s="100"/>
      <c r="W7" s="52" t="s">
        <v>5</v>
      </c>
      <c r="X7" s="55" t="s">
        <v>5</v>
      </c>
      <c r="Y7" s="52" t="s">
        <v>5</v>
      </c>
      <c r="Z7" s="55" t="s">
        <v>5</v>
      </c>
      <c r="AA7" s="52" t="s">
        <v>5</v>
      </c>
      <c r="AB7" s="55" t="s">
        <v>5</v>
      </c>
      <c r="AC7" s="100"/>
      <c r="AD7" s="108" t="s">
        <v>5</v>
      </c>
      <c r="AE7" s="16"/>
      <c r="AF7" s="16" t="s">
        <v>5</v>
      </c>
      <c r="AG7" s="16"/>
      <c r="AH7" s="16" t="s">
        <v>5</v>
      </c>
      <c r="AI7" s="17"/>
      <c r="AJ7" s="6"/>
      <c r="AK7" s="108" t="s">
        <v>5</v>
      </c>
      <c r="AL7" s="16"/>
      <c r="AM7" s="16" t="s">
        <v>5</v>
      </c>
      <c r="AN7" s="16"/>
      <c r="AO7" s="16" t="s">
        <v>5</v>
      </c>
      <c r="AP7" s="17"/>
      <c r="AQ7" s="15"/>
      <c r="AR7" s="108" t="s">
        <v>5</v>
      </c>
      <c r="AS7" s="16"/>
      <c r="AT7" s="16" t="s">
        <v>5</v>
      </c>
      <c r="AU7" s="16"/>
      <c r="AV7" s="16" t="s">
        <v>5</v>
      </c>
      <c r="AW7" s="17"/>
      <c r="AX7" s="14"/>
      <c r="AY7" s="108" t="s">
        <v>5</v>
      </c>
      <c r="AZ7" s="16"/>
      <c r="BA7" s="16" t="s">
        <v>5</v>
      </c>
      <c r="BB7" s="16"/>
      <c r="BC7" s="16" t="s">
        <v>5</v>
      </c>
      <c r="BD7" s="17"/>
      <c r="BE7" s="14"/>
      <c r="BF7" s="108" t="s">
        <v>5</v>
      </c>
      <c r="BG7" s="16"/>
      <c r="BH7" s="16" t="s">
        <v>5</v>
      </c>
      <c r="BI7" s="16"/>
      <c r="BJ7" s="16" t="s">
        <v>5</v>
      </c>
      <c r="BK7" s="17"/>
    </row>
    <row r="8" spans="1:65" ht="12.75" customHeight="1">
      <c r="A8" s="20" t="s">
        <v>14</v>
      </c>
      <c r="B8" s="59">
        <f>+F8-W8-P8-I8</f>
        <v>5717</v>
      </c>
      <c r="C8" s="129">
        <f t="shared" ref="C8:C13" si="0">+G8-N8-E8</f>
        <v>5495</v>
      </c>
      <c r="D8" s="37"/>
      <c r="E8" s="170">
        <v>1086</v>
      </c>
      <c r="F8" s="166">
        <v>24894</v>
      </c>
      <c r="G8" s="5">
        <v>27678</v>
      </c>
      <c r="I8" s="166">
        <v>6087</v>
      </c>
      <c r="J8" s="98">
        <v>5501</v>
      </c>
      <c r="L8" s="37">
        <v>1214</v>
      </c>
      <c r="M8" s="166">
        <v>19177</v>
      </c>
      <c r="N8" s="5">
        <v>21097</v>
      </c>
      <c r="O8" s="57"/>
      <c r="P8" s="166">
        <v>6413</v>
      </c>
      <c r="Q8" s="98">
        <v>6327</v>
      </c>
      <c r="R8" s="166"/>
      <c r="S8" s="37">
        <v>1152</v>
      </c>
      <c r="T8" s="166">
        <v>13090</v>
      </c>
      <c r="U8" s="5">
        <v>14382</v>
      </c>
      <c r="V8" s="57"/>
      <c r="W8" s="166">
        <v>6677</v>
      </c>
      <c r="X8" s="98">
        <f>+AB8-Z8</f>
        <v>5705</v>
      </c>
      <c r="Y8" s="166"/>
      <c r="Z8" s="37">
        <v>1198</v>
      </c>
      <c r="AA8" s="166">
        <v>6677</v>
      </c>
      <c r="AB8" s="5">
        <v>6903</v>
      </c>
      <c r="AC8" s="57"/>
      <c r="AD8" s="169">
        <v>5495</v>
      </c>
      <c r="AE8" s="170"/>
      <c r="AF8" s="170">
        <v>1086</v>
      </c>
      <c r="AG8" s="170"/>
      <c r="AH8" s="170">
        <v>6581</v>
      </c>
      <c r="AI8" s="171"/>
      <c r="AJ8" s="170"/>
      <c r="AK8" s="169">
        <f t="shared" ref="AK8:AK13" si="1">+AO8-AM8</f>
        <v>5501</v>
      </c>
      <c r="AL8" s="170"/>
      <c r="AM8" s="170">
        <v>1214</v>
      </c>
      <c r="AN8" s="170"/>
      <c r="AO8" s="170">
        <v>6715</v>
      </c>
      <c r="AP8" s="171"/>
      <c r="AQ8" s="129"/>
      <c r="AR8" s="169">
        <f t="shared" ref="AR8:AR13" si="2">+AV8-AT8</f>
        <v>6327</v>
      </c>
      <c r="AS8" s="170"/>
      <c r="AT8" s="170">
        <f>2350-1198</f>
        <v>1152</v>
      </c>
      <c r="AU8" s="170"/>
      <c r="AV8" s="170">
        <f>14382-6903</f>
        <v>7479</v>
      </c>
      <c r="AW8" s="171"/>
      <c r="AX8" s="98"/>
      <c r="AY8" s="169">
        <f t="shared" ref="AY8:AY13" si="3">+BC8-BA8</f>
        <v>5705</v>
      </c>
      <c r="AZ8" s="170"/>
      <c r="BA8" s="98">
        <v>1198</v>
      </c>
      <c r="BB8" s="170"/>
      <c r="BC8" s="5">
        <v>6903</v>
      </c>
      <c r="BD8" s="171"/>
      <c r="BE8" s="98"/>
      <c r="BF8" s="172">
        <f t="shared" ref="BF8:BF13" si="4">+AD8+AK8+AR8+AY8</f>
        <v>23028</v>
      </c>
      <c r="BG8" s="173"/>
      <c r="BH8" s="173">
        <f t="shared" ref="BH8:BH13" si="5">+AF8+AM8+AT8+BA8</f>
        <v>4650</v>
      </c>
      <c r="BI8" s="173"/>
      <c r="BJ8" s="173">
        <f t="shared" ref="BJ8:BJ13" si="6">+AH8+AO8+AV8+BC8</f>
        <v>27678</v>
      </c>
      <c r="BK8" s="174"/>
    </row>
    <row r="9" spans="1:65" ht="12.75" customHeight="1">
      <c r="A9" s="132" t="s">
        <v>166</v>
      </c>
      <c r="B9" s="59">
        <f>+F9-W9-P9-I9</f>
        <v>229</v>
      </c>
      <c r="C9" s="129">
        <f t="shared" si="0"/>
        <v>176</v>
      </c>
      <c r="D9" s="37"/>
      <c r="E9" s="99">
        <v>0</v>
      </c>
      <c r="F9" s="61">
        <v>1084</v>
      </c>
      <c r="G9" s="98">
        <v>822</v>
      </c>
      <c r="I9" s="61">
        <v>261</v>
      </c>
      <c r="J9" s="98">
        <v>165</v>
      </c>
      <c r="L9" s="37"/>
      <c r="M9" s="61">
        <v>855</v>
      </c>
      <c r="N9" s="98">
        <v>646</v>
      </c>
      <c r="O9" s="20"/>
      <c r="P9" s="61">
        <v>285</v>
      </c>
      <c r="Q9" s="98">
        <v>251</v>
      </c>
      <c r="R9" s="61"/>
      <c r="S9" s="37"/>
      <c r="T9" s="61">
        <v>594</v>
      </c>
      <c r="U9" s="98">
        <v>481</v>
      </c>
      <c r="V9" s="20"/>
      <c r="W9" s="61">
        <v>309</v>
      </c>
      <c r="X9" s="98">
        <v>230</v>
      </c>
      <c r="Y9" s="61"/>
      <c r="Z9" s="37">
        <v>0</v>
      </c>
      <c r="AA9" s="61">
        <v>309</v>
      </c>
      <c r="AB9" s="98">
        <v>230</v>
      </c>
      <c r="AC9" s="20"/>
      <c r="AD9" s="139">
        <v>176</v>
      </c>
      <c r="AE9" s="99"/>
      <c r="AF9" s="99">
        <v>0</v>
      </c>
      <c r="AG9" s="99"/>
      <c r="AH9" s="99">
        <v>176</v>
      </c>
      <c r="AI9" s="140"/>
      <c r="AJ9" s="99"/>
      <c r="AK9" s="169">
        <f t="shared" si="1"/>
        <v>165</v>
      </c>
      <c r="AL9" s="99"/>
      <c r="AM9" s="99"/>
      <c r="AN9" s="99"/>
      <c r="AO9" s="99">
        <v>165</v>
      </c>
      <c r="AP9" s="140"/>
      <c r="AQ9" s="129"/>
      <c r="AR9" s="169">
        <f t="shared" si="2"/>
        <v>251</v>
      </c>
      <c r="AS9" s="99"/>
      <c r="AT9" s="99"/>
      <c r="AU9" s="99"/>
      <c r="AV9" s="99">
        <v>251</v>
      </c>
      <c r="AW9" s="140"/>
      <c r="AX9" s="98"/>
      <c r="AY9" s="169">
        <f t="shared" si="3"/>
        <v>230</v>
      </c>
      <c r="AZ9" s="99"/>
      <c r="BA9" s="98">
        <v>0</v>
      </c>
      <c r="BB9" s="99"/>
      <c r="BC9" s="98">
        <v>230</v>
      </c>
      <c r="BD9" s="140"/>
      <c r="BE9" s="98"/>
      <c r="BF9" s="169">
        <f t="shared" si="4"/>
        <v>822</v>
      </c>
      <c r="BG9" s="170"/>
      <c r="BH9" s="170">
        <f t="shared" si="5"/>
        <v>0</v>
      </c>
      <c r="BI9" s="170"/>
      <c r="BJ9" s="170">
        <f t="shared" si="6"/>
        <v>822</v>
      </c>
      <c r="BK9" s="140"/>
    </row>
    <row r="10" spans="1:65" ht="12.75" customHeight="1">
      <c r="A10" s="131" t="s">
        <v>167</v>
      </c>
      <c r="B10" s="59">
        <f>+F10-W10-P10-I10</f>
        <v>66046</v>
      </c>
      <c r="C10" s="129">
        <f t="shared" si="0"/>
        <v>53048</v>
      </c>
      <c r="D10" s="59"/>
      <c r="E10" s="129">
        <v>10267</v>
      </c>
      <c r="F10" s="59">
        <v>276128</v>
      </c>
      <c r="G10" s="98">
        <v>263857</v>
      </c>
      <c r="I10" s="177">
        <f>67251+468</f>
        <v>67719</v>
      </c>
      <c r="J10" s="98">
        <f>52055-733</f>
        <v>51322</v>
      </c>
      <c r="K10" s="59"/>
      <c r="L10" s="37">
        <v>11350</v>
      </c>
      <c r="M10" s="59">
        <f>209614+468</f>
        <v>210082</v>
      </c>
      <c r="N10" s="98">
        <f>203394-2852</f>
        <v>200542</v>
      </c>
      <c r="O10" s="59"/>
      <c r="P10" s="59">
        <v>72374</v>
      </c>
      <c r="Q10" s="98">
        <f>61597-1105</f>
        <v>60492</v>
      </c>
      <c r="R10" s="59"/>
      <c r="S10" s="98">
        <v>10945</v>
      </c>
      <c r="T10" s="59">
        <v>142363</v>
      </c>
      <c r="U10" s="98">
        <f>139989-2119</f>
        <v>137870</v>
      </c>
      <c r="V10" s="59"/>
      <c r="W10" s="59">
        <f>68443+1546</f>
        <v>69989</v>
      </c>
      <c r="X10" s="98">
        <f>+AB10-Z10</f>
        <v>54956</v>
      </c>
      <c r="Y10" s="59">
        <f>+D10-K10</f>
        <v>0</v>
      </c>
      <c r="Z10" s="98">
        <f>11467+10</f>
        <v>11477</v>
      </c>
      <c r="AA10" s="59">
        <f>68443+1546</f>
        <v>69989</v>
      </c>
      <c r="AB10" s="98">
        <f>66408+1039-1014</f>
        <v>66433</v>
      </c>
      <c r="AC10" s="59"/>
      <c r="AD10" s="2">
        <f>+AH10-AF10</f>
        <v>53869</v>
      </c>
      <c r="AE10" s="129"/>
      <c r="AF10" s="129">
        <v>10267</v>
      </c>
      <c r="AG10" s="129"/>
      <c r="AH10" s="129">
        <f>63315+821</f>
        <v>64136</v>
      </c>
      <c r="AI10" s="134"/>
      <c r="AJ10" s="129"/>
      <c r="AK10" s="169">
        <f t="shared" si="1"/>
        <v>52055</v>
      </c>
      <c r="AL10" s="129"/>
      <c r="AM10" s="129">
        <v>11350</v>
      </c>
      <c r="AN10" s="129"/>
      <c r="AO10" s="129">
        <f>62672+733</f>
        <v>63405</v>
      </c>
      <c r="AP10" s="134"/>
      <c r="AQ10" s="129"/>
      <c r="AR10" s="169">
        <f t="shared" si="2"/>
        <v>61597</v>
      </c>
      <c r="AS10" s="129"/>
      <c r="AT10" s="129">
        <f>22408-11477+14</f>
        <v>10945</v>
      </c>
      <c r="AU10" s="129"/>
      <c r="AV10" s="129">
        <f>137830+47-66433+1105-7</f>
        <v>72542</v>
      </c>
      <c r="AW10" s="134"/>
      <c r="AX10" s="98"/>
      <c r="AY10" s="169">
        <f t="shared" si="3"/>
        <v>55970</v>
      </c>
      <c r="AZ10" s="129"/>
      <c r="BA10" s="98">
        <f>11467+10</f>
        <v>11477</v>
      </c>
      <c r="BB10" s="129"/>
      <c r="BC10" s="98">
        <f>66408+1039</f>
        <v>67447</v>
      </c>
      <c r="BD10" s="134"/>
      <c r="BE10" s="98"/>
      <c r="BF10" s="169">
        <f t="shared" si="4"/>
        <v>223491</v>
      </c>
      <c r="BG10" s="170"/>
      <c r="BH10" s="170">
        <f t="shared" si="5"/>
        <v>44039</v>
      </c>
      <c r="BI10" s="170"/>
      <c r="BJ10" s="170">
        <f t="shared" si="6"/>
        <v>267530</v>
      </c>
      <c r="BK10" s="134"/>
      <c r="BL10">
        <v>263857</v>
      </c>
      <c r="BM10" s="153">
        <f>+BJ10-BL10</f>
        <v>3673</v>
      </c>
    </row>
    <row r="11" spans="1:65" ht="12.75" customHeight="1">
      <c r="A11" s="31" t="s">
        <v>15</v>
      </c>
      <c r="B11" s="59">
        <f t="shared" ref="B11:B19" si="7">+F11-W11-P11-I11</f>
        <v>-62731</v>
      </c>
      <c r="C11" s="129">
        <f t="shared" si="0"/>
        <v>-52469</v>
      </c>
      <c r="D11" s="59"/>
      <c r="E11" s="129">
        <v>-11666</v>
      </c>
      <c r="F11" s="61">
        <v>-259376</v>
      </c>
      <c r="G11" s="98">
        <v>-261397</v>
      </c>
      <c r="I11" s="177">
        <f>-62850-468</f>
        <v>-63318</v>
      </c>
      <c r="J11" s="98">
        <f>-52787+733</f>
        <v>-52054</v>
      </c>
      <c r="K11" s="59"/>
      <c r="L11" s="37">
        <v>-12762</v>
      </c>
      <c r="M11" s="61">
        <f>-196177-468</f>
        <v>-196645</v>
      </c>
      <c r="N11" s="98">
        <f>-200114+2852</f>
        <v>-197262</v>
      </c>
      <c r="O11" s="59"/>
      <c r="P11" s="61">
        <v>-67582</v>
      </c>
      <c r="Q11" s="98">
        <f>-57798+1105</f>
        <v>-56693</v>
      </c>
      <c r="R11" s="59"/>
      <c r="S11" s="98">
        <v>-11459</v>
      </c>
      <c r="T11" s="61">
        <v>-133327</v>
      </c>
      <c r="U11" s="98">
        <f>-134565+2119</f>
        <v>-132446</v>
      </c>
      <c r="V11" s="59"/>
      <c r="W11" s="61">
        <f>-65925+27+153</f>
        <v>-65745</v>
      </c>
      <c r="X11" s="98">
        <f>+AB11-Z11</f>
        <v>-52635</v>
      </c>
      <c r="Y11" s="59">
        <f>+D11-K11</f>
        <v>0</v>
      </c>
      <c r="Z11" s="98">
        <v>-11659</v>
      </c>
      <c r="AA11" s="61">
        <f>-65925+27+153</f>
        <v>-65745</v>
      </c>
      <c r="AB11" s="98">
        <f>-65252-77+22-1+1014</f>
        <v>-64294</v>
      </c>
      <c r="AC11" s="59"/>
      <c r="AD11" s="2">
        <f>+AH11-AF11</f>
        <v>-53290</v>
      </c>
      <c r="AE11" s="129"/>
      <c r="AF11" s="129">
        <v>-11666</v>
      </c>
      <c r="AG11" s="129"/>
      <c r="AH11" s="129">
        <f>-64135-821</f>
        <v>-64956</v>
      </c>
      <c r="AI11" s="134"/>
      <c r="AJ11" s="129"/>
      <c r="AK11" s="169">
        <f t="shared" si="1"/>
        <v>-52787</v>
      </c>
      <c r="AL11" s="129"/>
      <c r="AM11" s="129">
        <v>-12762</v>
      </c>
      <c r="AN11" s="129"/>
      <c r="AO11" s="129">
        <f>-64762-733-54</f>
        <v>-65549</v>
      </c>
      <c r="AP11" s="134"/>
      <c r="AQ11" s="129"/>
      <c r="AR11" s="169">
        <f t="shared" si="2"/>
        <v>-57798</v>
      </c>
      <c r="AS11" s="129"/>
      <c r="AT11" s="129">
        <f>-23118+11659</f>
        <v>-11459</v>
      </c>
      <c r="AU11" s="129"/>
      <c r="AV11" s="129">
        <f>-132594+99+42+64294-1105+7</f>
        <v>-69257</v>
      </c>
      <c r="AW11" s="134"/>
      <c r="AX11" s="98"/>
      <c r="AY11" s="169">
        <f t="shared" si="3"/>
        <v>-53649</v>
      </c>
      <c r="AZ11" s="129"/>
      <c r="BA11" s="98">
        <v>-11659</v>
      </c>
      <c r="BB11" s="129"/>
      <c r="BC11" s="98">
        <f>-65252-77+22-1</f>
        <v>-65308</v>
      </c>
      <c r="BD11" s="134"/>
      <c r="BE11" s="98"/>
      <c r="BF11" s="169">
        <f t="shared" si="4"/>
        <v>-217524</v>
      </c>
      <c r="BG11" s="170"/>
      <c r="BH11" s="170">
        <f t="shared" si="5"/>
        <v>-47546</v>
      </c>
      <c r="BI11" s="170"/>
      <c r="BJ11" s="170">
        <f t="shared" si="6"/>
        <v>-265070</v>
      </c>
      <c r="BK11" s="134"/>
      <c r="BL11">
        <v>-261397</v>
      </c>
      <c r="BM11" s="153">
        <f>+BJ11-BL11</f>
        <v>-3673</v>
      </c>
    </row>
    <row r="12" spans="1:65" ht="12.75" customHeight="1">
      <c r="A12" s="31" t="s">
        <v>151</v>
      </c>
      <c r="B12" s="59">
        <f t="shared" si="7"/>
        <v>0</v>
      </c>
      <c r="C12" s="129">
        <f t="shared" si="0"/>
        <v>0</v>
      </c>
      <c r="D12" s="59"/>
      <c r="E12" s="157">
        <v>2821</v>
      </c>
      <c r="F12" s="61"/>
      <c r="G12" s="98">
        <v>-7996</v>
      </c>
      <c r="I12" s="166">
        <v>0</v>
      </c>
      <c r="J12" s="98">
        <v>0</v>
      </c>
      <c r="K12" s="37"/>
      <c r="L12" s="37">
        <v>-10817</v>
      </c>
      <c r="M12" s="61"/>
      <c r="N12" s="98">
        <v>-10817</v>
      </c>
      <c r="O12" s="60"/>
      <c r="P12" s="61">
        <v>0</v>
      </c>
      <c r="Q12" s="98">
        <v>0</v>
      </c>
      <c r="R12" s="59"/>
      <c r="S12" s="98">
        <v>0</v>
      </c>
      <c r="T12" s="61"/>
      <c r="U12" s="98"/>
      <c r="V12" s="60"/>
      <c r="W12" s="61"/>
      <c r="X12" s="98">
        <f>+AB12-Z12</f>
        <v>0</v>
      </c>
      <c r="Y12" s="59">
        <f>+D12-K12</f>
        <v>0</v>
      </c>
      <c r="Z12" s="98"/>
      <c r="AA12" s="61"/>
      <c r="AB12" s="98"/>
      <c r="AC12" s="59"/>
      <c r="AD12" s="156">
        <f>+AH12-AF12</f>
        <v>0</v>
      </c>
      <c r="AE12" s="157"/>
      <c r="AF12" s="157">
        <v>2821</v>
      </c>
      <c r="AG12" s="129"/>
      <c r="AH12" s="129">
        <v>2821</v>
      </c>
      <c r="AI12" s="134"/>
      <c r="AJ12" s="129"/>
      <c r="AK12" s="175">
        <f t="shared" si="1"/>
        <v>0</v>
      </c>
      <c r="AL12" s="157"/>
      <c r="AM12" s="157">
        <v>-10817</v>
      </c>
      <c r="AN12" s="129"/>
      <c r="AO12" s="129">
        <v>-10817</v>
      </c>
      <c r="AP12" s="134"/>
      <c r="AQ12" s="129"/>
      <c r="AR12" s="169">
        <f t="shared" si="2"/>
        <v>0</v>
      </c>
      <c r="AS12" s="129"/>
      <c r="AT12" s="129">
        <v>0</v>
      </c>
      <c r="AU12" s="129"/>
      <c r="AV12" s="129">
        <v>0</v>
      </c>
      <c r="AW12" s="134"/>
      <c r="AX12" s="98"/>
      <c r="AY12" s="169">
        <f t="shared" si="3"/>
        <v>0</v>
      </c>
      <c r="AZ12" s="129"/>
      <c r="BA12" s="98"/>
      <c r="BB12" s="129"/>
      <c r="BC12" s="98"/>
      <c r="BD12" s="134"/>
      <c r="BE12" s="98"/>
      <c r="BF12" s="169">
        <f t="shared" si="4"/>
        <v>0</v>
      </c>
      <c r="BG12" s="170"/>
      <c r="BH12" s="170">
        <f t="shared" si="5"/>
        <v>-7996</v>
      </c>
      <c r="BI12" s="170"/>
      <c r="BJ12" s="170">
        <f t="shared" si="6"/>
        <v>-7996</v>
      </c>
      <c r="BK12" s="134"/>
    </row>
    <row r="13" spans="1:65" ht="12.75" customHeight="1">
      <c r="A13" s="31" t="s">
        <v>17</v>
      </c>
      <c r="B13" s="63">
        <f t="shared" si="7"/>
        <v>628</v>
      </c>
      <c r="C13" s="114">
        <f t="shared" si="0"/>
        <v>289</v>
      </c>
      <c r="D13" s="63"/>
      <c r="E13" s="114">
        <v>17</v>
      </c>
      <c r="F13" s="64">
        <v>27316</v>
      </c>
      <c r="G13" s="114">
        <v>1523</v>
      </c>
      <c r="I13" s="176">
        <v>24965</v>
      </c>
      <c r="J13" s="114">
        <v>131</v>
      </c>
      <c r="K13" s="63"/>
      <c r="L13" s="103">
        <v>0</v>
      </c>
      <c r="M13" s="64">
        <v>26688</v>
      </c>
      <c r="N13" s="114">
        <v>1217</v>
      </c>
      <c r="O13" s="60"/>
      <c r="P13" s="64">
        <v>1391</v>
      </c>
      <c r="Q13" s="114">
        <v>250</v>
      </c>
      <c r="R13" s="63"/>
      <c r="S13" s="114">
        <v>0</v>
      </c>
      <c r="T13" s="64">
        <v>1723</v>
      </c>
      <c r="U13" s="114">
        <v>1086</v>
      </c>
      <c r="V13" s="60"/>
      <c r="W13" s="64">
        <f>485-153</f>
        <v>332</v>
      </c>
      <c r="X13" s="114">
        <f>+AB13-Z13</f>
        <v>836</v>
      </c>
      <c r="Y13" s="63">
        <f>+D13-K13</f>
        <v>0</v>
      </c>
      <c r="Z13" s="114">
        <v>0</v>
      </c>
      <c r="AA13" s="64">
        <f>485-153</f>
        <v>332</v>
      </c>
      <c r="AB13" s="114">
        <v>836</v>
      </c>
      <c r="AC13" s="63"/>
      <c r="AD13" s="135">
        <f>+AH13-AF13</f>
        <v>289</v>
      </c>
      <c r="AE13" s="114"/>
      <c r="AF13" s="114">
        <v>17</v>
      </c>
      <c r="AG13" s="114"/>
      <c r="AH13" s="114">
        <v>306</v>
      </c>
      <c r="AI13" s="136"/>
      <c r="AJ13" s="129"/>
      <c r="AK13" s="9">
        <f t="shared" si="1"/>
        <v>131</v>
      </c>
      <c r="AL13" s="114"/>
      <c r="AM13" s="114">
        <v>0</v>
      </c>
      <c r="AN13" s="114"/>
      <c r="AO13" s="114">
        <v>131</v>
      </c>
      <c r="AP13" s="136"/>
      <c r="AQ13" s="129"/>
      <c r="AR13" s="9">
        <f t="shared" si="2"/>
        <v>250</v>
      </c>
      <c r="AS13" s="114"/>
      <c r="AT13" s="114">
        <v>0</v>
      </c>
      <c r="AU13" s="114"/>
      <c r="AV13" s="114">
        <f>1086-836</f>
        <v>250</v>
      </c>
      <c r="AW13" s="136"/>
      <c r="AX13" s="98"/>
      <c r="AY13" s="9">
        <f t="shared" si="3"/>
        <v>836</v>
      </c>
      <c r="AZ13" s="114"/>
      <c r="BA13" s="114">
        <v>0</v>
      </c>
      <c r="BB13" s="114"/>
      <c r="BC13" s="114">
        <v>836</v>
      </c>
      <c r="BD13" s="136"/>
      <c r="BE13" s="98"/>
      <c r="BF13" s="9">
        <f t="shared" si="4"/>
        <v>1506</v>
      </c>
      <c r="BG13" s="10"/>
      <c r="BH13" s="10">
        <f t="shared" si="5"/>
        <v>17</v>
      </c>
      <c r="BI13" s="10"/>
      <c r="BJ13" s="10">
        <f t="shared" si="6"/>
        <v>1523</v>
      </c>
      <c r="BK13" s="136"/>
    </row>
    <row r="14" spans="1:65" ht="12.75" customHeight="1">
      <c r="A14" s="31" t="s">
        <v>18</v>
      </c>
      <c r="B14" s="61">
        <f t="shared" ref="B14:G14" si="8">SUM(B10:B13)</f>
        <v>3943</v>
      </c>
      <c r="C14" s="115">
        <f t="shared" si="8"/>
        <v>868</v>
      </c>
      <c r="D14" s="61">
        <f t="shared" si="8"/>
        <v>0</v>
      </c>
      <c r="E14" s="99">
        <v>1439</v>
      </c>
      <c r="F14" s="61">
        <f t="shared" si="8"/>
        <v>44068</v>
      </c>
      <c r="G14" s="115">
        <f t="shared" si="8"/>
        <v>-4013</v>
      </c>
      <c r="I14" s="61">
        <v>29366</v>
      </c>
      <c r="J14" s="115">
        <v>-601</v>
      </c>
      <c r="K14" s="61">
        <v>0</v>
      </c>
      <c r="L14" s="115">
        <v>-12229</v>
      </c>
      <c r="M14" s="61">
        <v>40125</v>
      </c>
      <c r="N14" s="115">
        <v>-6320</v>
      </c>
      <c r="O14" s="62"/>
      <c r="P14" s="61">
        <v>6183</v>
      </c>
      <c r="Q14" s="115">
        <v>4049</v>
      </c>
      <c r="R14" s="61">
        <v>0</v>
      </c>
      <c r="S14" s="115">
        <v>-514</v>
      </c>
      <c r="T14" s="61">
        <v>10759</v>
      </c>
      <c r="U14" s="115">
        <v>6510</v>
      </c>
      <c r="V14" s="62"/>
      <c r="W14" s="61">
        <f t="shared" ref="W14:AB14" si="9">SUM(W10:W13)</f>
        <v>4576</v>
      </c>
      <c r="X14" s="115">
        <f t="shared" si="9"/>
        <v>3157</v>
      </c>
      <c r="Y14" s="61">
        <f t="shared" si="9"/>
        <v>0</v>
      </c>
      <c r="Z14" s="115">
        <f t="shared" si="9"/>
        <v>-182</v>
      </c>
      <c r="AA14" s="61">
        <f t="shared" si="9"/>
        <v>4576</v>
      </c>
      <c r="AB14" s="115">
        <f t="shared" si="9"/>
        <v>2975</v>
      </c>
      <c r="AC14" s="61"/>
      <c r="AD14" s="139">
        <f>SUM(AD10:AD13)</f>
        <v>868</v>
      </c>
      <c r="AE14" s="99"/>
      <c r="AF14" s="99">
        <f>SUM(AF10:AF13)</f>
        <v>1439</v>
      </c>
      <c r="AG14" s="99"/>
      <c r="AH14" s="99">
        <f>SUM(AH10:AH13)</f>
        <v>2307</v>
      </c>
      <c r="AI14" s="140"/>
      <c r="AJ14" s="99"/>
      <c r="AK14" s="139">
        <f>SUM(AK10:AK13)</f>
        <v>-601</v>
      </c>
      <c r="AL14" s="99"/>
      <c r="AM14" s="99">
        <f>SUM(AM10:AM13)</f>
        <v>-12229</v>
      </c>
      <c r="AN14" s="99"/>
      <c r="AO14" s="99">
        <f>SUM(AO10:AO13)</f>
        <v>-12830</v>
      </c>
      <c r="AP14" s="140"/>
      <c r="AQ14" s="129"/>
      <c r="AR14" s="139">
        <f>SUM(AR10:AR13)</f>
        <v>4049</v>
      </c>
      <c r="AS14" s="99"/>
      <c r="AT14" s="99">
        <f>SUM(AT10:AT13)</f>
        <v>-514</v>
      </c>
      <c r="AU14" s="99"/>
      <c r="AV14" s="99">
        <f>SUM(AV10:AV13)</f>
        <v>3535</v>
      </c>
      <c r="AW14" s="140"/>
      <c r="AX14" s="98"/>
      <c r="AY14" s="139">
        <f>SUM(AY10:AY13)</f>
        <v>3157</v>
      </c>
      <c r="AZ14" s="99"/>
      <c r="BA14" s="115">
        <f>SUM(BA10:BA13)</f>
        <v>-182</v>
      </c>
      <c r="BB14" s="99"/>
      <c r="BC14" s="115">
        <f>SUM(BC10:BC13)</f>
        <v>2975</v>
      </c>
      <c r="BD14" s="140"/>
      <c r="BE14" s="98"/>
      <c r="BF14" s="147">
        <f>SUM(BF10:BF13)</f>
        <v>7473</v>
      </c>
      <c r="BG14" s="148"/>
      <c r="BH14" s="148">
        <f>SUM(BH10:BH13)</f>
        <v>-11486</v>
      </c>
      <c r="BI14" s="148"/>
      <c r="BJ14" s="148">
        <f>SUM(BJ10:BJ13)</f>
        <v>-4013</v>
      </c>
      <c r="BK14" s="149"/>
    </row>
    <row r="15" spans="1:65" ht="12.75" customHeight="1">
      <c r="A15" s="14" t="s">
        <v>19</v>
      </c>
      <c r="B15" s="63">
        <f t="shared" si="7"/>
        <v>-93</v>
      </c>
      <c r="C15" s="114">
        <f>+G15-N15-E15</f>
        <v>-89</v>
      </c>
      <c r="D15" s="63"/>
      <c r="E15" s="114">
        <v>-12</v>
      </c>
      <c r="F15" s="63">
        <v>-420</v>
      </c>
      <c r="G15" s="114">
        <v>-499</v>
      </c>
      <c r="I15" s="176">
        <v>-93</v>
      </c>
      <c r="J15" s="114">
        <v>-124</v>
      </c>
      <c r="K15" s="63"/>
      <c r="L15" s="103">
        <v>-14</v>
      </c>
      <c r="M15" s="63">
        <v>-327</v>
      </c>
      <c r="N15" s="114">
        <v>-398</v>
      </c>
      <c r="O15" s="60"/>
      <c r="P15" s="63">
        <v>-126</v>
      </c>
      <c r="Q15" s="114">
        <v>-124</v>
      </c>
      <c r="R15" s="63"/>
      <c r="S15" s="114">
        <v>-18</v>
      </c>
      <c r="T15" s="63">
        <v>-234</v>
      </c>
      <c r="U15" s="114">
        <v>-260</v>
      </c>
      <c r="V15" s="60"/>
      <c r="W15" s="63">
        <v>-108</v>
      </c>
      <c r="X15" s="114">
        <f>+AB15-Z15</f>
        <v>-104</v>
      </c>
      <c r="Y15" s="63">
        <f>+D15-K15</f>
        <v>0</v>
      </c>
      <c r="Z15" s="114">
        <v>-14</v>
      </c>
      <c r="AA15" s="63">
        <v>-108</v>
      </c>
      <c r="AB15" s="114">
        <v>-118</v>
      </c>
      <c r="AC15" s="59"/>
      <c r="AD15" s="135">
        <v>-89</v>
      </c>
      <c r="AE15" s="114"/>
      <c r="AF15" s="114">
        <v>-12</v>
      </c>
      <c r="AG15" s="114"/>
      <c r="AH15" s="114">
        <v>-101</v>
      </c>
      <c r="AI15" s="136"/>
      <c r="AJ15" s="129"/>
      <c r="AK15" s="135">
        <f>+AO15-AM15</f>
        <v>-124</v>
      </c>
      <c r="AL15" s="114"/>
      <c r="AM15" s="114">
        <v>-14</v>
      </c>
      <c r="AN15" s="114"/>
      <c r="AO15" s="114">
        <v>-138</v>
      </c>
      <c r="AP15" s="136"/>
      <c r="AQ15" s="129"/>
      <c r="AR15" s="135">
        <f>+AV15-AT15</f>
        <v>-124</v>
      </c>
      <c r="AS15" s="114"/>
      <c r="AT15" s="114">
        <f>-32+14</f>
        <v>-18</v>
      </c>
      <c r="AU15" s="114"/>
      <c r="AV15" s="114">
        <f>+-260+118</f>
        <v>-142</v>
      </c>
      <c r="AW15" s="136"/>
      <c r="AX15" s="98"/>
      <c r="AY15" s="135">
        <f>+BC15-BA15</f>
        <v>-104</v>
      </c>
      <c r="AZ15" s="114"/>
      <c r="BA15" s="114">
        <v>-14</v>
      </c>
      <c r="BB15" s="114"/>
      <c r="BC15" s="114">
        <v>-118</v>
      </c>
      <c r="BD15" s="136"/>
      <c r="BE15" s="98"/>
      <c r="BF15" s="9">
        <f>+AD15+AK15+AR15+AY15</f>
        <v>-441</v>
      </c>
      <c r="BG15" s="10"/>
      <c r="BH15" s="10">
        <f>+AF15+AM15+AT15+BA15</f>
        <v>-58</v>
      </c>
      <c r="BI15" s="10"/>
      <c r="BJ15" s="10">
        <f>+AH15+AO15+AV15+BC15</f>
        <v>-499</v>
      </c>
      <c r="BK15" s="136"/>
    </row>
    <row r="16" spans="1:65" ht="12.75" customHeight="1">
      <c r="A16" s="14" t="s">
        <v>20</v>
      </c>
      <c r="B16" s="59">
        <f t="shared" ref="B16:G16" si="10">SUM(B14:B15)</f>
        <v>3850</v>
      </c>
      <c r="C16" s="98">
        <f t="shared" si="10"/>
        <v>779</v>
      </c>
      <c r="D16" s="59">
        <f t="shared" si="10"/>
        <v>0</v>
      </c>
      <c r="E16" s="129">
        <v>1427</v>
      </c>
      <c r="F16" s="59">
        <f t="shared" si="10"/>
        <v>43648</v>
      </c>
      <c r="G16" s="98">
        <f t="shared" si="10"/>
        <v>-4512</v>
      </c>
      <c r="I16" s="59">
        <v>29273</v>
      </c>
      <c r="J16" s="98">
        <v>-725</v>
      </c>
      <c r="K16" s="59">
        <v>0</v>
      </c>
      <c r="L16" s="98">
        <v>-12243</v>
      </c>
      <c r="M16" s="59">
        <v>39798</v>
      </c>
      <c r="N16" s="98">
        <v>-6718</v>
      </c>
      <c r="O16" s="60"/>
      <c r="P16" s="59">
        <v>6057</v>
      </c>
      <c r="Q16" s="98">
        <v>3925</v>
      </c>
      <c r="R16" s="59">
        <v>0</v>
      </c>
      <c r="S16" s="98">
        <v>-532</v>
      </c>
      <c r="T16" s="59">
        <v>10525</v>
      </c>
      <c r="U16" s="98">
        <v>6250</v>
      </c>
      <c r="V16" s="60"/>
      <c r="W16" s="59">
        <f>SUM(W14:W15)</f>
        <v>4468</v>
      </c>
      <c r="X16" s="98">
        <f>SUM(X14:X15)</f>
        <v>3053</v>
      </c>
      <c r="Y16" s="59">
        <f>+Y14+Y15</f>
        <v>0</v>
      </c>
      <c r="Z16" s="98">
        <f>SUM(Z14:Z15)</f>
        <v>-196</v>
      </c>
      <c r="AA16" s="59">
        <f>SUM(AA14:AA15)</f>
        <v>4468</v>
      </c>
      <c r="AB16" s="98">
        <f>SUM(AB14:AB15)</f>
        <v>2857</v>
      </c>
      <c r="AC16" s="59"/>
      <c r="AD16" s="2">
        <f>+AD14+AD15</f>
        <v>779</v>
      </c>
      <c r="AE16" s="129"/>
      <c r="AF16" s="129">
        <f>+AF14+AF15</f>
        <v>1427</v>
      </c>
      <c r="AG16" s="129"/>
      <c r="AH16" s="129">
        <f>+AH14+AH15</f>
        <v>2206</v>
      </c>
      <c r="AI16" s="134"/>
      <c r="AJ16" s="129"/>
      <c r="AK16" s="2">
        <f>+AK14+AK15</f>
        <v>-725</v>
      </c>
      <c r="AL16" s="129"/>
      <c r="AM16" s="129">
        <f>+AM14+AM15</f>
        <v>-12243</v>
      </c>
      <c r="AN16" s="129"/>
      <c r="AO16" s="129">
        <f>+AO14+AO15</f>
        <v>-12968</v>
      </c>
      <c r="AP16" s="134"/>
      <c r="AQ16" s="129"/>
      <c r="AR16" s="2">
        <f>+AR14+AR15</f>
        <v>3925</v>
      </c>
      <c r="AS16" s="129"/>
      <c r="AT16" s="129">
        <f>+AT14+AT15</f>
        <v>-532</v>
      </c>
      <c r="AU16" s="129"/>
      <c r="AV16" s="129">
        <f>+AV14+AV15</f>
        <v>3393</v>
      </c>
      <c r="AW16" s="134"/>
      <c r="AX16" s="98"/>
      <c r="AY16" s="2">
        <f>+AY14+AY15</f>
        <v>3053</v>
      </c>
      <c r="AZ16" s="129"/>
      <c r="BA16" s="98">
        <f>SUM(BA14:BA15)</f>
        <v>-196</v>
      </c>
      <c r="BB16" s="129"/>
      <c r="BC16" s="98">
        <f>SUM(BC14:BC15)</f>
        <v>2857</v>
      </c>
      <c r="BD16" s="134"/>
      <c r="BE16" s="98"/>
      <c r="BF16" s="150">
        <f>+BF14+BF15</f>
        <v>7032</v>
      </c>
      <c r="BG16" s="151"/>
      <c r="BH16" s="151">
        <f>SUM(BH14:BH15)</f>
        <v>-11544</v>
      </c>
      <c r="BI16" s="151"/>
      <c r="BJ16" s="151">
        <f>SUM(BJ14:BJ15)</f>
        <v>-4512</v>
      </c>
      <c r="BK16" s="152"/>
    </row>
    <row r="17" spans="1:63" ht="12.75" customHeight="1">
      <c r="A17" s="14" t="s">
        <v>21</v>
      </c>
      <c r="B17" s="63">
        <f t="shared" si="7"/>
        <v>-695</v>
      </c>
      <c r="C17" s="114">
        <f>+G17-N17-E17</f>
        <v>-585</v>
      </c>
      <c r="D17" s="116"/>
      <c r="E17" s="114">
        <v>0</v>
      </c>
      <c r="F17" s="63">
        <v>-4019</v>
      </c>
      <c r="G17" s="114">
        <v>-1961</v>
      </c>
      <c r="I17" s="176">
        <v>-1646</v>
      </c>
      <c r="J17" s="114">
        <v>100</v>
      </c>
      <c r="K17" s="116"/>
      <c r="L17" s="103">
        <v>0</v>
      </c>
      <c r="M17" s="63">
        <v>-3324</v>
      </c>
      <c r="N17" s="114">
        <v>-1376</v>
      </c>
      <c r="O17" s="60"/>
      <c r="P17" s="63">
        <v>-871</v>
      </c>
      <c r="Q17" s="114">
        <v>-873</v>
      </c>
      <c r="R17" s="63"/>
      <c r="S17" s="114">
        <v>0</v>
      </c>
      <c r="T17" s="63">
        <v>-1678</v>
      </c>
      <c r="U17" s="114">
        <v>-1476</v>
      </c>
      <c r="V17" s="60"/>
      <c r="W17" s="63">
        <v>-807</v>
      </c>
      <c r="X17" s="114">
        <f>+AB17-Z17</f>
        <v>-603</v>
      </c>
      <c r="Y17" s="63">
        <f>+D17-K17</f>
        <v>0</v>
      </c>
      <c r="Z17" s="114"/>
      <c r="AA17" s="63">
        <v>-807</v>
      </c>
      <c r="AB17" s="114">
        <v>-603</v>
      </c>
      <c r="AC17" s="63"/>
      <c r="AD17" s="135">
        <v>-585</v>
      </c>
      <c r="AE17" s="114"/>
      <c r="AF17" s="114">
        <v>0</v>
      </c>
      <c r="AG17" s="114"/>
      <c r="AH17" s="114">
        <v>-585</v>
      </c>
      <c r="AI17" s="136"/>
      <c r="AJ17" s="129"/>
      <c r="AK17" s="135">
        <f>+AO17-AM17</f>
        <v>100</v>
      </c>
      <c r="AL17" s="114"/>
      <c r="AM17" s="114">
        <v>0</v>
      </c>
      <c r="AN17" s="114"/>
      <c r="AO17" s="114">
        <v>100</v>
      </c>
      <c r="AP17" s="136"/>
      <c r="AQ17" s="129"/>
      <c r="AR17" s="135">
        <f>+AV17-AT17</f>
        <v>-873</v>
      </c>
      <c r="AS17" s="114"/>
      <c r="AT17" s="114">
        <v>0</v>
      </c>
      <c r="AU17" s="114"/>
      <c r="AV17" s="114">
        <f>-1476+603</f>
        <v>-873</v>
      </c>
      <c r="AW17" s="136"/>
      <c r="AX17" s="98"/>
      <c r="AY17" s="135">
        <f>+BC17-BA17</f>
        <v>-603</v>
      </c>
      <c r="AZ17" s="114"/>
      <c r="BA17" s="114"/>
      <c r="BB17" s="114"/>
      <c r="BC17" s="114">
        <v>-603</v>
      </c>
      <c r="BD17" s="136"/>
      <c r="BE17" s="98"/>
      <c r="BF17" s="9">
        <f>+AD17+AK17+AR17+AY17</f>
        <v>-1961</v>
      </c>
      <c r="BG17" s="10"/>
      <c r="BH17" s="10">
        <f>+AF17+AM17+AT17+BA17</f>
        <v>0</v>
      </c>
      <c r="BI17" s="10"/>
      <c r="BJ17" s="10">
        <f>+AH17+AO17+AV17+BC17</f>
        <v>-1961</v>
      </c>
      <c r="BK17" s="136"/>
    </row>
    <row r="18" spans="1:63" ht="12.75" customHeight="1">
      <c r="A18" s="14" t="s">
        <v>22</v>
      </c>
      <c r="B18" s="59">
        <f t="shared" ref="B18:G18" si="11">SUM(B16:B17)</f>
        <v>3155</v>
      </c>
      <c r="C18" s="98">
        <f t="shared" si="11"/>
        <v>194</v>
      </c>
      <c r="D18" s="59">
        <f t="shared" si="11"/>
        <v>0</v>
      </c>
      <c r="E18" s="129">
        <v>1427</v>
      </c>
      <c r="F18" s="59">
        <f t="shared" si="11"/>
        <v>39629</v>
      </c>
      <c r="G18" s="98">
        <f t="shared" si="11"/>
        <v>-6473</v>
      </c>
      <c r="I18" s="59">
        <v>27627</v>
      </c>
      <c r="J18" s="98">
        <v>-625</v>
      </c>
      <c r="K18" s="59">
        <v>0</v>
      </c>
      <c r="L18" s="98">
        <v>-12243</v>
      </c>
      <c r="M18" s="59">
        <v>36474</v>
      </c>
      <c r="N18" s="98">
        <v>-8094</v>
      </c>
      <c r="O18" s="60"/>
      <c r="P18" s="59">
        <v>5186</v>
      </c>
      <c r="Q18" s="98">
        <v>3052</v>
      </c>
      <c r="R18" s="59">
        <v>0</v>
      </c>
      <c r="S18" s="98">
        <v>-532</v>
      </c>
      <c r="T18" s="59">
        <v>8847</v>
      </c>
      <c r="U18" s="98">
        <v>4774</v>
      </c>
      <c r="V18" s="60"/>
      <c r="W18" s="59">
        <f t="shared" ref="W18:AB18" si="12">SUM(W16:W17)</f>
        <v>3661</v>
      </c>
      <c r="X18" s="98">
        <f t="shared" si="12"/>
        <v>2450</v>
      </c>
      <c r="Y18" s="59">
        <f t="shared" si="12"/>
        <v>0</v>
      </c>
      <c r="Z18" s="98">
        <f t="shared" si="12"/>
        <v>-196</v>
      </c>
      <c r="AA18" s="59">
        <f t="shared" si="12"/>
        <v>3661</v>
      </c>
      <c r="AB18" s="98">
        <f t="shared" si="12"/>
        <v>2254</v>
      </c>
      <c r="AC18" s="59"/>
      <c r="AD18" s="2">
        <f>SUM(AD16:AD17)</f>
        <v>194</v>
      </c>
      <c r="AE18" s="129"/>
      <c r="AF18" s="129">
        <f>SUM(AF16:AF17)</f>
        <v>1427</v>
      </c>
      <c r="AG18" s="129"/>
      <c r="AH18" s="129">
        <f>SUM(AH16:AH17)</f>
        <v>1621</v>
      </c>
      <c r="AI18" s="134"/>
      <c r="AJ18" s="129"/>
      <c r="AK18" s="2">
        <f>SUM(AK16:AK17)</f>
        <v>-625</v>
      </c>
      <c r="AL18" s="129"/>
      <c r="AM18" s="129">
        <f>SUM(AM16:AM17)</f>
        <v>-12243</v>
      </c>
      <c r="AN18" s="129"/>
      <c r="AO18" s="129">
        <f>SUM(AO16:AO17)</f>
        <v>-12868</v>
      </c>
      <c r="AP18" s="134"/>
      <c r="AQ18" s="129"/>
      <c r="AR18" s="2">
        <f>SUM(AR16:AR17)</f>
        <v>3052</v>
      </c>
      <c r="AS18" s="129"/>
      <c r="AT18" s="129">
        <f>SUM(AT16:AT17)</f>
        <v>-532</v>
      </c>
      <c r="AU18" s="129"/>
      <c r="AV18" s="129">
        <f>SUM(AV16:AV17)</f>
        <v>2520</v>
      </c>
      <c r="AW18" s="134"/>
      <c r="AX18" s="98"/>
      <c r="AY18" s="2">
        <f>SUM(AY16:AY17)</f>
        <v>2450</v>
      </c>
      <c r="AZ18" s="129"/>
      <c r="BA18" s="98">
        <f>SUM(BA16:BA17)</f>
        <v>-196</v>
      </c>
      <c r="BB18" s="129"/>
      <c r="BC18" s="98">
        <f>SUM(BC16:BC17)</f>
        <v>2254</v>
      </c>
      <c r="BD18" s="134"/>
      <c r="BE18" s="98"/>
      <c r="BF18" s="150">
        <f>SUM(BF16:BF17)</f>
        <v>5071</v>
      </c>
      <c r="BG18" s="151"/>
      <c r="BH18" s="151">
        <f>SUM(BH16:BH17)</f>
        <v>-11544</v>
      </c>
      <c r="BI18" s="151"/>
      <c r="BJ18" s="151">
        <f>SUM(BJ16:BJ17)</f>
        <v>-6473</v>
      </c>
      <c r="BK18" s="152"/>
    </row>
    <row r="19" spans="1:63" ht="12.75" customHeight="1">
      <c r="A19" s="14" t="s">
        <v>23</v>
      </c>
      <c r="B19" s="63">
        <f t="shared" si="7"/>
        <v>-709</v>
      </c>
      <c r="C19" s="114">
        <f>+G19-N19-E19</f>
        <v>-229</v>
      </c>
      <c r="D19" s="116"/>
      <c r="E19" s="114">
        <v>0</v>
      </c>
      <c r="F19" s="63">
        <v>-3041</v>
      </c>
      <c r="G19" s="114">
        <v>-1180</v>
      </c>
      <c r="I19" s="176">
        <v>-534</v>
      </c>
      <c r="J19" s="114">
        <v>33</v>
      </c>
      <c r="K19" s="116"/>
      <c r="L19" s="103">
        <v>0</v>
      </c>
      <c r="M19" s="63">
        <v>-2332</v>
      </c>
      <c r="N19" s="114">
        <v>-951</v>
      </c>
      <c r="O19" s="60"/>
      <c r="P19" s="63">
        <v>-916</v>
      </c>
      <c r="Q19" s="114">
        <v>-455</v>
      </c>
      <c r="R19" s="63"/>
      <c r="S19" s="114">
        <v>0</v>
      </c>
      <c r="T19" s="63">
        <v>-1798</v>
      </c>
      <c r="U19" s="114">
        <v>-984</v>
      </c>
      <c r="V19" s="60"/>
      <c r="W19" s="63">
        <v>-882</v>
      </c>
      <c r="X19" s="114">
        <f>+AB19-Z19</f>
        <v>-529</v>
      </c>
      <c r="Y19" s="63">
        <f>+D19-K19</f>
        <v>0</v>
      </c>
      <c r="Z19" s="114">
        <v>0</v>
      </c>
      <c r="AA19" s="63">
        <v>-882</v>
      </c>
      <c r="AB19" s="114">
        <v>-529</v>
      </c>
      <c r="AC19" s="63"/>
      <c r="AD19" s="135">
        <v>-229.30612244897964</v>
      </c>
      <c r="AE19" s="114"/>
      <c r="AF19" s="114">
        <v>0</v>
      </c>
      <c r="AG19" s="114"/>
      <c r="AH19" s="114">
        <v>-229.30612244897964</v>
      </c>
      <c r="AI19" s="136"/>
      <c r="AJ19" s="129"/>
      <c r="AK19" s="135">
        <f>+AO19-AM19</f>
        <v>33</v>
      </c>
      <c r="AL19" s="114"/>
      <c r="AM19" s="114">
        <v>0</v>
      </c>
      <c r="AN19" s="114"/>
      <c r="AO19" s="114">
        <v>33</v>
      </c>
      <c r="AP19" s="136"/>
      <c r="AQ19" s="129"/>
      <c r="AR19" s="135">
        <f>+AV19-AT19</f>
        <v>-455</v>
      </c>
      <c r="AS19" s="114"/>
      <c r="AT19" s="114">
        <v>0</v>
      </c>
      <c r="AU19" s="114"/>
      <c r="AV19" s="114">
        <f>-984+529</f>
        <v>-455</v>
      </c>
      <c r="AW19" s="136"/>
      <c r="AX19" s="98"/>
      <c r="AY19" s="135">
        <f>+BC19-BA19</f>
        <v>-529</v>
      </c>
      <c r="AZ19" s="114"/>
      <c r="BA19" s="114">
        <v>0</v>
      </c>
      <c r="BB19" s="114"/>
      <c r="BC19" s="114">
        <v>-529</v>
      </c>
      <c r="BD19" s="136"/>
      <c r="BE19" s="98"/>
      <c r="BF19" s="9">
        <f>+AD19+AK19+AR19+AY19</f>
        <v>-1180.3061224489797</v>
      </c>
      <c r="BG19" s="10"/>
      <c r="BH19" s="10">
        <f>+AF19+AM19+AT19+BA19</f>
        <v>0</v>
      </c>
      <c r="BI19" s="10"/>
      <c r="BJ19" s="10">
        <f>+AH19+AO19+AV19+BC19</f>
        <v>-1180.3061224489797</v>
      </c>
      <c r="BK19" s="136"/>
    </row>
    <row r="20" spans="1:63" ht="12.75" customHeight="1">
      <c r="A20" s="14" t="s">
        <v>24</v>
      </c>
      <c r="B20" s="59">
        <f t="shared" ref="B20:G20" si="13">SUM(B18:B19)</f>
        <v>2446</v>
      </c>
      <c r="C20" s="98">
        <f t="shared" si="13"/>
        <v>-35</v>
      </c>
      <c r="D20" s="59">
        <f t="shared" si="13"/>
        <v>0</v>
      </c>
      <c r="E20" s="129">
        <f>SUM(E18:E19)</f>
        <v>1427</v>
      </c>
      <c r="F20" s="59">
        <f t="shared" si="13"/>
        <v>36588</v>
      </c>
      <c r="G20" s="98">
        <f t="shared" si="13"/>
        <v>-7653</v>
      </c>
      <c r="I20" s="59">
        <v>27093</v>
      </c>
      <c r="J20" s="98">
        <v>-592</v>
      </c>
      <c r="K20" s="59">
        <v>0</v>
      </c>
      <c r="L20" s="98">
        <v>-12243</v>
      </c>
      <c r="M20" s="59">
        <v>34142</v>
      </c>
      <c r="N20" s="98">
        <v>-9045</v>
      </c>
      <c r="O20" s="60"/>
      <c r="P20" s="59">
        <v>4270</v>
      </c>
      <c r="Q20" s="98">
        <v>2597</v>
      </c>
      <c r="R20" s="59">
        <v>0</v>
      </c>
      <c r="S20" s="98">
        <v>-532</v>
      </c>
      <c r="T20" s="59">
        <v>7049</v>
      </c>
      <c r="U20" s="98">
        <v>3790</v>
      </c>
      <c r="V20" s="60"/>
      <c r="W20" s="59">
        <f t="shared" ref="W20:AB20" si="14">SUM(W18:W19)</f>
        <v>2779</v>
      </c>
      <c r="X20" s="98">
        <f t="shared" si="14"/>
        <v>1921</v>
      </c>
      <c r="Y20" s="59">
        <f t="shared" si="14"/>
        <v>0</v>
      </c>
      <c r="Z20" s="98">
        <f t="shared" si="14"/>
        <v>-196</v>
      </c>
      <c r="AA20" s="59">
        <f t="shared" si="14"/>
        <v>2779</v>
      </c>
      <c r="AB20" s="98">
        <f t="shared" si="14"/>
        <v>1725</v>
      </c>
      <c r="AC20" s="59"/>
      <c r="AD20" s="2">
        <f>SUM(AD18:AD19)</f>
        <v>-35.306122448979636</v>
      </c>
      <c r="AE20" s="129"/>
      <c r="AF20" s="129">
        <f>SUM(AF18:AF19)</f>
        <v>1427</v>
      </c>
      <c r="AG20" s="129"/>
      <c r="AH20" s="129">
        <f>SUM(AH18:AH19)</f>
        <v>1391.6938775510203</v>
      </c>
      <c r="AI20" s="134"/>
      <c r="AJ20" s="129"/>
      <c r="AK20" s="2">
        <f>SUM(AK18:AK19)</f>
        <v>-592</v>
      </c>
      <c r="AL20" s="129"/>
      <c r="AM20" s="129">
        <f>SUM(AM18:AM19)</f>
        <v>-12243</v>
      </c>
      <c r="AN20" s="129"/>
      <c r="AO20" s="129">
        <f>SUM(AO18:AO19)</f>
        <v>-12835</v>
      </c>
      <c r="AP20" s="134"/>
      <c r="AQ20" s="129"/>
      <c r="AR20" s="2">
        <f>SUM(AR18:AR19)</f>
        <v>2597</v>
      </c>
      <c r="AS20" s="129"/>
      <c r="AT20" s="129">
        <f>SUM(AT18:AT19)</f>
        <v>-532</v>
      </c>
      <c r="AU20" s="129"/>
      <c r="AV20" s="129">
        <f>SUM(AV18:AV19)</f>
        <v>2065</v>
      </c>
      <c r="AW20" s="134"/>
      <c r="AX20" s="98"/>
      <c r="AY20" s="2">
        <f>SUM(AY18:AY19)</f>
        <v>1921</v>
      </c>
      <c r="AZ20" s="129"/>
      <c r="BA20" s="98">
        <f>SUM(BA18:BA19)</f>
        <v>-196</v>
      </c>
      <c r="BB20" s="129"/>
      <c r="BC20" s="98">
        <f>SUM(BC18:BC19)</f>
        <v>1725</v>
      </c>
      <c r="BD20" s="134"/>
      <c r="BE20" s="98"/>
      <c r="BF20" s="150">
        <f>SUM(BF18:BF19)</f>
        <v>3890.6938775510203</v>
      </c>
      <c r="BG20" s="151"/>
      <c r="BH20" s="151">
        <f>SUM(BH18:BH19)</f>
        <v>-11544</v>
      </c>
      <c r="BI20" s="151"/>
      <c r="BJ20" s="151">
        <f>SUM(BJ18:BJ19)</f>
        <v>-7653.3061224489793</v>
      </c>
      <c r="BK20" s="152"/>
    </row>
    <row r="21" spans="1:63" ht="12.75" customHeight="1" thickBot="1">
      <c r="A21" s="12"/>
      <c r="B21" s="65"/>
      <c r="C21" s="117"/>
      <c r="D21" s="65"/>
      <c r="E21" s="65"/>
      <c r="F21" s="65"/>
      <c r="G21" s="117"/>
      <c r="I21" s="65"/>
      <c r="J21" s="117"/>
      <c r="K21" s="65"/>
      <c r="L21" s="65"/>
      <c r="M21" s="65"/>
      <c r="N21" s="117"/>
      <c r="O21" s="60"/>
      <c r="P21" s="65"/>
      <c r="Q21" s="117"/>
      <c r="R21" s="65"/>
      <c r="S21" s="117"/>
      <c r="T21" s="65"/>
      <c r="U21" s="117"/>
      <c r="V21" s="60"/>
      <c r="W21" s="65"/>
      <c r="X21" s="117"/>
      <c r="Y21" s="65"/>
      <c r="Z21" s="117"/>
      <c r="AA21" s="65"/>
      <c r="AB21" s="117"/>
      <c r="AC21" s="60"/>
      <c r="AD21" s="135"/>
      <c r="AE21" s="114"/>
      <c r="AF21" s="114"/>
      <c r="AG21" s="114"/>
      <c r="AH21" s="114"/>
      <c r="AI21" s="134"/>
      <c r="AJ21" s="129"/>
      <c r="AK21" s="135"/>
      <c r="AL21" s="114"/>
      <c r="AM21" s="114"/>
      <c r="AN21" s="114"/>
      <c r="AO21" s="114"/>
      <c r="AP21" s="134"/>
      <c r="AQ21" s="129"/>
      <c r="AR21" s="135"/>
      <c r="AS21" s="114"/>
      <c r="AT21" s="114"/>
      <c r="AU21" s="114"/>
      <c r="AV21" s="114"/>
      <c r="AW21" s="134"/>
      <c r="AX21" s="98"/>
      <c r="AY21" s="141"/>
      <c r="AZ21" s="142"/>
      <c r="BA21" s="142"/>
      <c r="BB21" s="142"/>
      <c r="BC21" s="142"/>
      <c r="BD21" s="143"/>
      <c r="BE21" s="98"/>
      <c r="BF21" s="135"/>
      <c r="BG21" s="114"/>
      <c r="BH21" s="114"/>
      <c r="BI21" s="114"/>
      <c r="BJ21" s="114"/>
      <c r="BK21" s="136"/>
    </row>
    <row r="22" spans="1:63" ht="12.75" customHeight="1">
      <c r="B22" s="59"/>
      <c r="C22" s="37"/>
      <c r="D22" s="37"/>
      <c r="E22" s="37"/>
      <c r="F22" s="59"/>
      <c r="G22" s="98"/>
      <c r="I22" s="59"/>
      <c r="J22" s="37"/>
      <c r="M22" s="59"/>
      <c r="N22" s="98"/>
      <c r="O22" s="32"/>
      <c r="P22" s="59"/>
      <c r="Q22" s="98"/>
      <c r="T22" s="59"/>
      <c r="U22" s="98"/>
      <c r="V22" s="32"/>
      <c r="W22" s="59"/>
      <c r="X22" s="98"/>
      <c r="AA22" s="59"/>
      <c r="AB22" s="98"/>
      <c r="AD22" s="2"/>
      <c r="AE22" s="129"/>
      <c r="AF22" s="129"/>
      <c r="AG22" s="129"/>
      <c r="AH22" s="129"/>
      <c r="AI22" s="134"/>
      <c r="AJ22" s="129"/>
      <c r="AK22" s="2"/>
      <c r="AL22" s="129"/>
      <c r="AM22" s="129"/>
      <c r="AN22" s="129"/>
      <c r="AO22" s="129"/>
      <c r="AP22" s="134"/>
      <c r="AQ22" s="129"/>
      <c r="AR22" s="2"/>
      <c r="AS22" s="129"/>
      <c r="AT22" s="129"/>
      <c r="AU22" s="129"/>
      <c r="AV22" s="129"/>
      <c r="AW22" s="134"/>
      <c r="AX22" s="98"/>
      <c r="AY22" s="2"/>
      <c r="AZ22" s="129"/>
      <c r="BA22" s="129"/>
      <c r="BB22" s="129"/>
      <c r="BC22" s="98"/>
      <c r="BD22" s="134"/>
      <c r="BE22" s="98"/>
      <c r="BF22" s="2"/>
      <c r="BG22" s="129"/>
      <c r="BH22" s="129"/>
      <c r="BI22" s="129"/>
      <c r="BJ22" s="129"/>
      <c r="BK22" s="134"/>
    </row>
    <row r="23" spans="1:63" ht="12.75" customHeight="1">
      <c r="A23" t="s">
        <v>168</v>
      </c>
      <c r="B23" s="60">
        <f>+F23-W23-P23-I23</f>
        <v>1303</v>
      </c>
      <c r="C23" s="129">
        <f>+G23-X23-Q23-J23</f>
        <v>821</v>
      </c>
      <c r="D23" s="37"/>
      <c r="E23" s="37"/>
      <c r="F23" s="59">
        <f>1542+1442+(899+468)+1303</f>
        <v>5654</v>
      </c>
      <c r="G23" s="98">
        <f>1014+1105+733+821</f>
        <v>3673</v>
      </c>
      <c r="I23" s="59">
        <v>1367</v>
      </c>
      <c r="J23" s="129">
        <v>733</v>
      </c>
      <c r="K23" s="37"/>
      <c r="M23" s="59">
        <f>3883+468</f>
        <v>4351</v>
      </c>
      <c r="N23" s="98">
        <v>2852</v>
      </c>
      <c r="O23" s="32"/>
      <c r="P23" s="59">
        <v>1442</v>
      </c>
      <c r="Q23" s="98">
        <v>1105</v>
      </c>
      <c r="T23" s="59">
        <v>2984</v>
      </c>
      <c r="U23" s="98">
        <v>2119</v>
      </c>
      <c r="V23" s="32"/>
      <c r="W23" s="59">
        <v>1542</v>
      </c>
      <c r="X23" s="98">
        <v>1014</v>
      </c>
      <c r="AA23" s="59">
        <v>1542</v>
      </c>
      <c r="AB23" s="98">
        <v>1014</v>
      </c>
      <c r="AD23" s="135">
        <v>821</v>
      </c>
      <c r="AE23" s="114"/>
      <c r="AF23" s="114"/>
      <c r="AG23" s="114"/>
      <c r="AH23" s="114">
        <v>821</v>
      </c>
      <c r="AI23" s="136"/>
      <c r="AJ23" s="129"/>
      <c r="AK23" s="135">
        <v>733</v>
      </c>
      <c r="AL23" s="114"/>
      <c r="AM23" s="114"/>
      <c r="AN23" s="114"/>
      <c r="AO23" s="114">
        <v>733</v>
      </c>
      <c r="AP23" s="136"/>
      <c r="AQ23" s="129"/>
      <c r="AR23" s="135">
        <v>1105</v>
      </c>
      <c r="AS23" s="114"/>
      <c r="AT23" s="114"/>
      <c r="AU23" s="114"/>
      <c r="AV23" s="114">
        <v>1105</v>
      </c>
      <c r="AW23" s="136"/>
      <c r="AX23" s="98"/>
      <c r="AY23" s="135">
        <v>1105</v>
      </c>
      <c r="AZ23" s="114"/>
      <c r="BA23" s="114"/>
      <c r="BB23" s="114"/>
      <c r="BC23" s="114">
        <v>1014</v>
      </c>
      <c r="BD23" s="136"/>
      <c r="BE23" s="98"/>
      <c r="BF23" s="9">
        <f>+AD23+AK23+AR23+AY23</f>
        <v>3764</v>
      </c>
      <c r="BG23" s="10"/>
      <c r="BH23" s="10">
        <f>+AF23+AM23+AT23+BA23</f>
        <v>0</v>
      </c>
      <c r="BI23" s="10"/>
      <c r="BJ23" s="10">
        <f>+AH23+AO23+AV23+BC23</f>
        <v>3673</v>
      </c>
      <c r="BK23" s="136"/>
    </row>
    <row r="24" spans="1:63" ht="12.75" customHeight="1">
      <c r="K24" s="37"/>
      <c r="O24" s="32"/>
      <c r="P24" s="32"/>
      <c r="Q24" s="32"/>
      <c r="R24" s="32"/>
      <c r="S24" s="32"/>
      <c r="T24" s="32"/>
      <c r="U24" s="32"/>
      <c r="V24" s="32"/>
    </row>
    <row r="25" spans="1:63" ht="12.75" customHeight="1"/>
    <row r="26" spans="1:63" ht="12.75" hidden="1" customHeight="1">
      <c r="B26" s="109" t="s">
        <v>147</v>
      </c>
      <c r="C26" s="110"/>
      <c r="D26" s="109" t="s">
        <v>148</v>
      </c>
      <c r="E26" s="110"/>
      <c r="F26" s="109" t="s">
        <v>149</v>
      </c>
      <c r="G26" s="110"/>
    </row>
    <row r="27" spans="1:63" ht="12.75" hidden="1" customHeight="1">
      <c r="B27" s="111" t="s">
        <v>8</v>
      </c>
      <c r="C27" s="112"/>
      <c r="D27" s="111" t="s">
        <v>8</v>
      </c>
      <c r="E27" s="112"/>
      <c r="F27" s="111" t="s">
        <v>8</v>
      </c>
      <c r="G27" s="112"/>
    </row>
    <row r="28" spans="1:63" ht="12.75" hidden="1" customHeight="1">
      <c r="B28" s="47">
        <v>2003</v>
      </c>
      <c r="C28" s="50">
        <v>2002</v>
      </c>
      <c r="D28" s="47">
        <v>2003</v>
      </c>
      <c r="E28" s="50">
        <v>2002</v>
      </c>
      <c r="F28" s="47">
        <v>2003</v>
      </c>
      <c r="G28" s="50">
        <v>2002</v>
      </c>
    </row>
    <row r="29" spans="1:63" ht="12.75" hidden="1" customHeight="1" thickBot="1">
      <c r="A29" s="113" t="s">
        <v>152</v>
      </c>
      <c r="B29" s="52" t="s">
        <v>5</v>
      </c>
      <c r="C29" s="55" t="s">
        <v>5</v>
      </c>
      <c r="D29" s="52" t="s">
        <v>5</v>
      </c>
      <c r="E29" s="55" t="s">
        <v>5</v>
      </c>
      <c r="F29" s="52" t="s">
        <v>5</v>
      </c>
      <c r="G29" s="55" t="s">
        <v>5</v>
      </c>
    </row>
    <row r="30" spans="1:63" ht="12.75" hidden="1" customHeight="1"/>
    <row r="31" spans="1:63" ht="12.75" hidden="1" customHeight="1">
      <c r="A31" s="14" t="s">
        <v>62</v>
      </c>
      <c r="B31" s="62">
        <f t="shared" ref="B31:C33" si="15">+F31-D31</f>
        <v>10673</v>
      </c>
      <c r="C31" s="99">
        <f t="shared" si="15"/>
        <v>14704</v>
      </c>
      <c r="D31" s="59">
        <v>1019</v>
      </c>
      <c r="E31" s="118">
        <v>31</v>
      </c>
      <c r="F31" s="62">
        <f>+'[8]KLSE cashflow'!B15</f>
        <v>11692</v>
      </c>
      <c r="G31" s="99">
        <v>14735</v>
      </c>
    </row>
    <row r="32" spans="1:63" ht="12.75" hidden="1" customHeight="1">
      <c r="A32" s="14" t="s">
        <v>69</v>
      </c>
      <c r="B32" s="62">
        <f t="shared" si="15"/>
        <v>-3686</v>
      </c>
      <c r="C32" s="99">
        <f t="shared" si="15"/>
        <v>-3267</v>
      </c>
      <c r="D32" s="119">
        <f>-1021</f>
        <v>-1021</v>
      </c>
      <c r="E32" s="118">
        <v>-1078</v>
      </c>
      <c r="F32" s="62">
        <f>+'[8]KLSE cashflow'!B24-8000</f>
        <v>-4707</v>
      </c>
      <c r="G32" s="99">
        <v>-4345</v>
      </c>
    </row>
    <row r="33" spans="1:9" ht="12.75" hidden="1" customHeight="1">
      <c r="A33" s="14" t="s">
        <v>75</v>
      </c>
      <c r="B33" s="62">
        <f t="shared" si="15"/>
        <v>-9498</v>
      </c>
      <c r="C33" s="99">
        <f t="shared" si="15"/>
        <v>-13174</v>
      </c>
      <c r="D33" s="59"/>
      <c r="E33" s="118"/>
      <c r="F33" s="62">
        <f>-9498</f>
        <v>-9498</v>
      </c>
      <c r="G33" s="99">
        <v>-13174</v>
      </c>
    </row>
    <row r="34" spans="1:9" ht="12.75" hidden="1" customHeight="1">
      <c r="A34" s="14" t="s">
        <v>153</v>
      </c>
      <c r="B34" s="62">
        <f>+F34-D34</f>
        <v>0</v>
      </c>
      <c r="C34" s="99"/>
      <c r="D34" s="59">
        <v>8000</v>
      </c>
      <c r="E34" s="118"/>
      <c r="F34" s="62">
        <v>8000</v>
      </c>
      <c r="G34" s="99"/>
    </row>
    <row r="35" spans="1:9" ht="12.75" hidden="1" customHeight="1">
      <c r="A35" s="14" t="s">
        <v>154</v>
      </c>
      <c r="B35" s="79">
        <f>SUM(B31:B34)</f>
        <v>-2511</v>
      </c>
      <c r="C35" s="120">
        <f>SUM(C31:C34)</f>
        <v>-1737</v>
      </c>
      <c r="D35" s="79">
        <f>SUM(D31:D34)</f>
        <v>7998</v>
      </c>
      <c r="E35" s="121">
        <f>SUM(E31:E33)</f>
        <v>-1047</v>
      </c>
      <c r="F35" s="79">
        <f>SUM(F31:F34)</f>
        <v>5487</v>
      </c>
      <c r="G35" s="120">
        <f>SUM(G31:G33)</f>
        <v>-2784</v>
      </c>
    </row>
    <row r="36" spans="1:9" ht="12.75" hidden="1" customHeight="1">
      <c r="A36" s="12"/>
      <c r="B36" s="61"/>
      <c r="C36" s="59"/>
      <c r="F36" s="61"/>
      <c r="G36" s="59"/>
    </row>
    <row r="37" spans="1:9" ht="12.75" hidden="1" customHeight="1"/>
    <row r="38" spans="1:9" ht="12.75" hidden="1" customHeight="1">
      <c r="B38" s="109" t="s">
        <v>147</v>
      </c>
      <c r="C38" s="110"/>
      <c r="D38" s="109" t="s">
        <v>148</v>
      </c>
      <c r="E38" s="110"/>
      <c r="F38" s="109" t="s">
        <v>149</v>
      </c>
      <c r="G38" s="110"/>
    </row>
    <row r="39" spans="1:9" ht="12.75" hidden="1" customHeight="1">
      <c r="A39" s="68"/>
      <c r="B39" s="47" t="s">
        <v>29</v>
      </c>
      <c r="C39" s="50" t="s">
        <v>29</v>
      </c>
      <c r="D39" s="47" t="s">
        <v>29</v>
      </c>
      <c r="E39" s="50" t="s">
        <v>29</v>
      </c>
      <c r="F39" s="47" t="s">
        <v>29</v>
      </c>
      <c r="G39" s="50" t="s">
        <v>29</v>
      </c>
    </row>
    <row r="40" spans="1:9" ht="12.75" hidden="1" customHeight="1">
      <c r="A40" s="68"/>
      <c r="B40" s="47" t="s">
        <v>4</v>
      </c>
      <c r="C40" s="50" t="s">
        <v>32</v>
      </c>
      <c r="D40" s="47" t="s">
        <v>4</v>
      </c>
      <c r="E40" s="50" t="s">
        <v>32</v>
      </c>
      <c r="F40" s="47" t="s">
        <v>4</v>
      </c>
      <c r="G40" s="50" t="s">
        <v>32</v>
      </c>
    </row>
    <row r="41" spans="1:9" ht="12.75" hidden="1" customHeight="1">
      <c r="A41" s="12"/>
      <c r="B41" s="122">
        <v>37986</v>
      </c>
      <c r="C41" s="123">
        <v>37621</v>
      </c>
      <c r="D41" s="122">
        <v>37986</v>
      </c>
      <c r="E41" s="123">
        <v>37621</v>
      </c>
      <c r="F41" s="122">
        <v>37986</v>
      </c>
      <c r="G41" s="123">
        <v>37621</v>
      </c>
    </row>
    <row r="42" spans="1:9" ht="12.75" hidden="1" customHeight="1" thickBot="1">
      <c r="A42" s="124" t="s">
        <v>155</v>
      </c>
      <c r="B42" s="125" t="s">
        <v>5</v>
      </c>
      <c r="C42" s="126" t="s">
        <v>5</v>
      </c>
      <c r="D42" s="125" t="s">
        <v>5</v>
      </c>
      <c r="E42" s="126" t="s">
        <v>5</v>
      </c>
      <c r="F42" s="125" t="s">
        <v>5</v>
      </c>
      <c r="G42" s="126" t="s">
        <v>5</v>
      </c>
    </row>
    <row r="43" spans="1:9" ht="12.75" hidden="1" customHeight="1"/>
    <row r="44" spans="1:9" ht="12.75" hidden="1" customHeight="1">
      <c r="A44" s="14" t="s">
        <v>33</v>
      </c>
      <c r="B44" s="72">
        <f>+F44-D44</f>
        <v>144966</v>
      </c>
      <c r="C44" s="127">
        <f>+G44-E44</f>
        <v>152317</v>
      </c>
      <c r="D44" s="59"/>
      <c r="E44" s="26">
        <v>18817</v>
      </c>
      <c r="F44" s="18">
        <f>+'[8]KLSE Balance Sheet'!C12</f>
        <v>144966</v>
      </c>
      <c r="G44" s="26">
        <v>171134</v>
      </c>
      <c r="I44">
        <v>144966</v>
      </c>
    </row>
    <row r="45" spans="1:9" ht="12.75" hidden="1" customHeight="1">
      <c r="A45" s="14" t="s">
        <v>35</v>
      </c>
      <c r="B45" s="72">
        <f>+F45-D45</f>
        <v>116645</v>
      </c>
      <c r="C45" s="127">
        <f>+G45-E45</f>
        <v>93543</v>
      </c>
      <c r="D45" s="72"/>
      <c r="E45" s="127">
        <v>16162</v>
      </c>
      <c r="F45" s="72">
        <f>+'[8]KLSE Balance Sheet'!C19</f>
        <v>116645</v>
      </c>
      <c r="G45" s="127">
        <v>109705</v>
      </c>
      <c r="I45" s="27">
        <f>+I44-F44</f>
        <v>0</v>
      </c>
    </row>
    <row r="46" spans="1:9" ht="12.75" hidden="1" customHeight="1">
      <c r="A46" s="14" t="s">
        <v>156</v>
      </c>
      <c r="B46" s="71">
        <f>+B44+B45</f>
        <v>261611</v>
      </c>
      <c r="C46" s="128">
        <f>+C44+C45</f>
        <v>245860</v>
      </c>
      <c r="D46" s="71"/>
      <c r="E46" s="128">
        <f>+E44+E45</f>
        <v>34979</v>
      </c>
      <c r="F46" s="71">
        <f>+F44+F45</f>
        <v>261611</v>
      </c>
      <c r="G46" s="128">
        <f>+G44+G45</f>
        <v>280839</v>
      </c>
    </row>
    <row r="47" spans="1:9" ht="12.75" hidden="1" customHeight="1">
      <c r="A47" s="14" t="s">
        <v>157</v>
      </c>
      <c r="B47" s="60">
        <f>+F47-D47</f>
        <v>-33726</v>
      </c>
      <c r="C47" s="129">
        <f>+G47-E47</f>
        <v>-16836</v>
      </c>
      <c r="D47" s="60"/>
      <c r="E47" s="129">
        <v>-21274</v>
      </c>
      <c r="F47" s="60">
        <f>-+'[8]KLSE Balance Sheet'!C25</f>
        <v>-33726</v>
      </c>
      <c r="G47" s="129">
        <v>-38110</v>
      </c>
    </row>
    <row r="48" spans="1:9" ht="12.75" hidden="1" customHeight="1">
      <c r="A48" s="14" t="s">
        <v>158</v>
      </c>
      <c r="B48" s="60">
        <f>+F48-D48</f>
        <v>-24314</v>
      </c>
      <c r="C48" s="129">
        <f>+G48-E48</f>
        <v>-26282</v>
      </c>
      <c r="D48" s="63"/>
      <c r="E48" s="114">
        <v>0</v>
      </c>
      <c r="F48" s="60">
        <f>+-'[8]KLSE Balance Sheet'!C34</f>
        <v>-24314</v>
      </c>
      <c r="G48" s="129">
        <v>-26282</v>
      </c>
      <c r="I48">
        <v>24314</v>
      </c>
    </row>
    <row r="49" spans="1:9" ht="12.75" hidden="1" customHeight="1">
      <c r="A49" s="14" t="s">
        <v>159</v>
      </c>
      <c r="B49" s="80">
        <f>+B47+B48</f>
        <v>-58040</v>
      </c>
      <c r="C49" s="97">
        <f>+C47+C48</f>
        <v>-43118</v>
      </c>
      <c r="D49" s="80"/>
      <c r="E49" s="97">
        <f>+E47+E48</f>
        <v>-21274</v>
      </c>
      <c r="F49" s="80">
        <f>+F47+F48</f>
        <v>-58040</v>
      </c>
      <c r="G49" s="97">
        <f>+G47+G48</f>
        <v>-64392</v>
      </c>
      <c r="I49" s="37">
        <f>+F48+I48</f>
        <v>0</v>
      </c>
    </row>
    <row r="50" spans="1:9" ht="12.75" hidden="1" customHeight="1">
      <c r="A50" s="14" t="s">
        <v>160</v>
      </c>
      <c r="B50" s="80">
        <f>+B46+B49</f>
        <v>203571</v>
      </c>
      <c r="C50" s="97">
        <f>+C46+C49</f>
        <v>202742</v>
      </c>
      <c r="D50" s="80"/>
      <c r="E50" s="97">
        <f>+E46+E49</f>
        <v>13705</v>
      </c>
      <c r="F50" s="80">
        <f>+F46+F49</f>
        <v>203571</v>
      </c>
      <c r="G50" s="97">
        <f>+G46+G49</f>
        <v>216447</v>
      </c>
    </row>
    <row r="51" spans="1:9" ht="12.75" hidden="1" customHeight="1">
      <c r="B51" s="18"/>
      <c r="D51" s="18"/>
      <c r="F51" s="18"/>
      <c r="G51" s="18"/>
    </row>
    <row r="52" spans="1:9" ht="12.75" customHeight="1">
      <c r="F52" s="37"/>
      <c r="G52" s="37"/>
    </row>
    <row r="53" spans="1:9" ht="12.75" customHeight="1">
      <c r="A53" s="12" t="s">
        <v>146</v>
      </c>
      <c r="F53" s="37"/>
      <c r="G53" s="37"/>
    </row>
    <row r="54" spans="1:9" ht="12.75" customHeight="1">
      <c r="B54" s="12"/>
      <c r="C54" s="86" t="s">
        <v>161</v>
      </c>
      <c r="D54" s="12"/>
      <c r="F54" s="37"/>
      <c r="G54" s="37"/>
    </row>
    <row r="55" spans="1:9" ht="12.75" customHeight="1">
      <c r="B55" s="86" t="s">
        <v>6</v>
      </c>
      <c r="C55" s="86" t="s">
        <v>164</v>
      </c>
      <c r="D55" s="86" t="s">
        <v>162</v>
      </c>
    </row>
    <row r="56" spans="1:9" ht="12.75" customHeight="1">
      <c r="B56" s="86" t="s">
        <v>5</v>
      </c>
      <c r="C56" s="86" t="s">
        <v>5</v>
      </c>
      <c r="D56" s="86" t="s">
        <v>5</v>
      </c>
    </row>
    <row r="57" spans="1:9" ht="12.75" customHeight="1">
      <c r="A57" s="44" t="s">
        <v>183</v>
      </c>
    </row>
    <row r="58" spans="1:9" ht="12.75" customHeight="1">
      <c r="A58" s="15" t="s">
        <v>147</v>
      </c>
      <c r="B58" s="37">
        <f>+B10</f>
        <v>66046</v>
      </c>
      <c r="C58" s="37">
        <f>+B16</f>
        <v>3850</v>
      </c>
      <c r="D58" s="37">
        <f>+B20</f>
        <v>2446</v>
      </c>
      <c r="H58" s="13"/>
    </row>
    <row r="59" spans="1:9" ht="12.75" customHeight="1">
      <c r="A59" s="15" t="s">
        <v>148</v>
      </c>
      <c r="B59" s="37">
        <v>0</v>
      </c>
      <c r="C59" s="37">
        <v>0</v>
      </c>
      <c r="D59" s="37">
        <v>0</v>
      </c>
      <c r="F59" s="32"/>
      <c r="G59" s="32"/>
      <c r="H59" s="83"/>
    </row>
    <row r="60" spans="1:9" ht="12.75" customHeight="1">
      <c r="B60" s="130">
        <f>+B58+B59</f>
        <v>66046</v>
      </c>
      <c r="C60" s="130">
        <f>+C58+C59</f>
        <v>3850</v>
      </c>
      <c r="D60" s="130">
        <f>+D58+D59</f>
        <v>2446</v>
      </c>
      <c r="F60" s="32"/>
      <c r="G60" s="32"/>
      <c r="H60" s="83"/>
    </row>
    <row r="61" spans="1:9" ht="12.75" customHeight="1">
      <c r="B61" s="37"/>
      <c r="C61" s="37"/>
      <c r="D61" s="37"/>
      <c r="F61" s="32"/>
      <c r="G61" s="32"/>
      <c r="H61" s="32"/>
    </row>
    <row r="62" spans="1:9" ht="12.75" customHeight="1">
      <c r="A62" s="44" t="s">
        <v>186</v>
      </c>
      <c r="B62" s="37"/>
      <c r="C62" s="37"/>
      <c r="D62" s="37"/>
    </row>
    <row r="63" spans="1:9" ht="12.75" customHeight="1">
      <c r="A63" s="15" t="s">
        <v>147</v>
      </c>
      <c r="B63" s="37">
        <f>C10</f>
        <v>53048</v>
      </c>
      <c r="C63" s="37">
        <f>C16</f>
        <v>779</v>
      </c>
      <c r="D63" s="37">
        <f>C20</f>
        <v>-35</v>
      </c>
    </row>
    <row r="64" spans="1:9" ht="12.75" customHeight="1">
      <c r="A64" s="15" t="s">
        <v>148</v>
      </c>
      <c r="B64" s="37">
        <f>+E10</f>
        <v>10267</v>
      </c>
      <c r="C64" s="37">
        <f>+E16</f>
        <v>1427</v>
      </c>
      <c r="D64" s="37">
        <f>+E20</f>
        <v>1427</v>
      </c>
    </row>
    <row r="65" spans="1:4" ht="12.75" customHeight="1">
      <c r="B65" s="130">
        <f>B63+B64</f>
        <v>63315</v>
      </c>
      <c r="C65" s="130">
        <f>C63+C64</f>
        <v>2206</v>
      </c>
      <c r="D65" s="130">
        <f>D63+D64</f>
        <v>1392</v>
      </c>
    </row>
    <row r="66" spans="1:4" ht="12.75" customHeight="1">
      <c r="B66" s="37"/>
      <c r="C66" s="37"/>
      <c r="D66" s="37"/>
    </row>
    <row r="67" spans="1:4" ht="12.75" customHeight="1">
      <c r="B67" s="37"/>
      <c r="C67" s="37"/>
      <c r="D67" s="37"/>
    </row>
    <row r="68" spans="1:4" ht="12.75" customHeight="1">
      <c r="A68" s="44" t="s">
        <v>184</v>
      </c>
      <c r="B68" s="37"/>
      <c r="C68" s="37"/>
      <c r="D68" s="37"/>
    </row>
    <row r="69" spans="1:4" ht="12.75" customHeight="1">
      <c r="A69" s="15" t="s">
        <v>147</v>
      </c>
      <c r="B69" s="37">
        <f>+F10</f>
        <v>276128</v>
      </c>
      <c r="C69" s="37">
        <f>+F16</f>
        <v>43648</v>
      </c>
      <c r="D69" s="37">
        <f>+F20</f>
        <v>36588</v>
      </c>
    </row>
    <row r="70" spans="1:4" ht="12.75" customHeight="1">
      <c r="A70" s="15" t="s">
        <v>148</v>
      </c>
      <c r="B70" s="37">
        <v>0</v>
      </c>
      <c r="C70" s="37">
        <v>0</v>
      </c>
      <c r="D70" s="37">
        <v>0</v>
      </c>
    </row>
    <row r="71" spans="1:4" ht="12.75" customHeight="1">
      <c r="B71" s="130">
        <f>+B69+B70</f>
        <v>276128</v>
      </c>
      <c r="C71" s="130">
        <f>+C69+C70</f>
        <v>43648</v>
      </c>
      <c r="D71" s="130">
        <f>+D69+D70</f>
        <v>36588</v>
      </c>
    </row>
    <row r="72" spans="1:4" ht="12.75" customHeight="1">
      <c r="B72" s="37"/>
      <c r="C72" s="37"/>
      <c r="D72" s="37"/>
    </row>
    <row r="73" spans="1:4" ht="12.75" customHeight="1">
      <c r="A73" s="44" t="s">
        <v>185</v>
      </c>
      <c r="B73" s="37"/>
      <c r="C73" s="37"/>
      <c r="D73" s="37"/>
    </row>
    <row r="74" spans="1:4" ht="12.75" customHeight="1">
      <c r="A74" s="15" t="s">
        <v>147</v>
      </c>
      <c r="B74" s="37">
        <f>+C10+J10+Q10+X10</f>
        <v>219818</v>
      </c>
      <c r="C74" s="37">
        <f>+C16+J16+Q16+X16</f>
        <v>7032</v>
      </c>
      <c r="D74" s="37">
        <f>+C20+J20+Q20+X20</f>
        <v>3891</v>
      </c>
    </row>
    <row r="75" spans="1:4" ht="12.75" customHeight="1">
      <c r="A75" s="15" t="s">
        <v>148</v>
      </c>
      <c r="B75" s="37">
        <f>+E10+L10+S10+Z10</f>
        <v>44039</v>
      </c>
      <c r="C75" s="37">
        <f>+E16+L16+S16+Z16</f>
        <v>-11544</v>
      </c>
      <c r="D75" s="37">
        <f>+E20+L20+S20+Z20</f>
        <v>-11544</v>
      </c>
    </row>
    <row r="76" spans="1:4" ht="12.75" customHeight="1">
      <c r="B76" s="130">
        <f>B74+B75</f>
        <v>263857</v>
      </c>
      <c r="C76" s="130">
        <f>C74+C75</f>
        <v>-4512</v>
      </c>
      <c r="D76" s="130">
        <f>D74+D75</f>
        <v>-7653</v>
      </c>
    </row>
    <row r="77" spans="1:4">
      <c r="B77" s="37"/>
    </row>
    <row r="78" spans="1:4">
      <c r="B78" s="37">
        <f>G10</f>
        <v>263857</v>
      </c>
      <c r="C78" s="37">
        <f>G16</f>
        <v>-4512</v>
      </c>
      <c r="D78" s="37">
        <f>G20</f>
        <v>-7653</v>
      </c>
    </row>
  </sheetData>
  <phoneticPr fontId="0" type="noConversion"/>
  <pageMargins left="0.27" right="0.26" top="0.55000000000000004" bottom="0.63" header="0.27" footer="0.37"/>
  <pageSetup scale="36" orientation="landscape" blackAndWhite="1" horizontalDpi="1200" verticalDpi="1200" r:id="rId1"/>
  <headerFooter alignWithMargins="0">
    <oddFooter>&amp;L&amp;D&amp;F&amp;A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U53"/>
  <sheetViews>
    <sheetView workbookViewId="0">
      <selection activeCell="E36" sqref="E36:F36"/>
    </sheetView>
  </sheetViews>
  <sheetFormatPr defaultRowHeight="12.75"/>
  <cols>
    <col min="1" max="1" width="29" customWidth="1"/>
    <col min="2" max="2" width="5.42578125" customWidth="1"/>
    <col min="3" max="3" width="21.28515625" customWidth="1"/>
    <col min="4" max="4" width="23.28515625" customWidth="1"/>
    <col min="5" max="5" width="4.28515625" customWidth="1"/>
    <col min="6" max="6" width="13.28515625" customWidth="1"/>
    <col min="18" max="18" width="46.28515625" bestFit="1" customWidth="1"/>
    <col min="19" max="20" width="11.5703125" customWidth="1"/>
  </cols>
  <sheetData>
    <row r="1" spans="1:21">
      <c r="A1" s="8" t="s">
        <v>3</v>
      </c>
      <c r="B1" s="8"/>
      <c r="C1" s="12"/>
      <c r="D1" s="12"/>
    </row>
    <row r="2" spans="1:21">
      <c r="A2" s="67" t="s">
        <v>28</v>
      </c>
      <c r="B2" s="67"/>
      <c r="C2" s="12"/>
      <c r="D2" s="12"/>
    </row>
    <row r="3" spans="1:21">
      <c r="A3" s="68"/>
      <c r="B3" s="68"/>
      <c r="C3" s="12"/>
      <c r="D3" s="12"/>
      <c r="I3">
        <v>-30027</v>
      </c>
      <c r="J3">
        <v>14000</v>
      </c>
      <c r="L3">
        <v>8000</v>
      </c>
    </row>
    <row r="4" spans="1:21">
      <c r="A4" s="68"/>
      <c r="B4" s="68"/>
      <c r="C4" s="12"/>
      <c r="D4" s="12"/>
    </row>
    <row r="5" spans="1:21">
      <c r="A5" s="68"/>
      <c r="B5" s="68"/>
      <c r="C5" s="51" t="s">
        <v>29</v>
      </c>
      <c r="D5" s="51" t="s">
        <v>29</v>
      </c>
      <c r="F5" s="51"/>
      <c r="L5" t="s">
        <v>110</v>
      </c>
    </row>
    <row r="6" spans="1:21">
      <c r="A6" s="68"/>
      <c r="B6" s="68"/>
      <c r="C6" s="51" t="s">
        <v>30</v>
      </c>
      <c r="D6" s="51" t="s">
        <v>31</v>
      </c>
      <c r="F6" s="51"/>
      <c r="G6" t="s">
        <v>111</v>
      </c>
      <c r="H6" t="s">
        <v>112</v>
      </c>
      <c r="I6" t="s">
        <v>113</v>
      </c>
      <c r="J6" t="s">
        <v>114</v>
      </c>
      <c r="K6" t="s">
        <v>88</v>
      </c>
      <c r="L6" t="s">
        <v>115</v>
      </c>
      <c r="M6" t="s">
        <v>67</v>
      </c>
      <c r="N6" t="s">
        <v>116</v>
      </c>
    </row>
    <row r="7" spans="1:21">
      <c r="A7" s="68"/>
      <c r="B7" s="68"/>
      <c r="C7" s="51" t="s">
        <v>4</v>
      </c>
      <c r="D7" s="51" t="s">
        <v>32</v>
      </c>
      <c r="F7" s="51"/>
    </row>
    <row r="8" spans="1:21">
      <c r="A8" s="12"/>
      <c r="B8" s="12"/>
      <c r="C8" s="69">
        <v>37986</v>
      </c>
      <c r="D8" s="69">
        <v>37621</v>
      </c>
      <c r="F8" s="69"/>
      <c r="G8" t="s">
        <v>117</v>
      </c>
    </row>
    <row r="9" spans="1:21">
      <c r="A9" s="12"/>
      <c r="B9" s="12" t="s">
        <v>13</v>
      </c>
      <c r="C9" s="70" t="s">
        <v>5</v>
      </c>
      <c r="D9" s="70" t="s">
        <v>5</v>
      </c>
      <c r="F9" s="70" t="s">
        <v>118</v>
      </c>
      <c r="G9">
        <f>6886-559</f>
        <v>6327</v>
      </c>
      <c r="H9">
        <v>-12055</v>
      </c>
      <c r="I9">
        <v>-2978</v>
      </c>
      <c r="J9">
        <v>2785</v>
      </c>
      <c r="L9">
        <v>43</v>
      </c>
      <c r="O9">
        <f>SUM(G9:K9)</f>
        <v>-5921</v>
      </c>
      <c r="P9">
        <f>+I9+J9+L9</f>
        <v>-150</v>
      </c>
    </row>
    <row r="10" spans="1:21">
      <c r="G10">
        <v>95</v>
      </c>
      <c r="H10">
        <v>-1637</v>
      </c>
      <c r="I10">
        <v>-72</v>
      </c>
      <c r="J10">
        <v>72</v>
      </c>
      <c r="L10">
        <v>19</v>
      </c>
      <c r="O10">
        <f>SUM(G10:K10)</f>
        <v>-1542</v>
      </c>
      <c r="P10">
        <f>+I10+J10+L10</f>
        <v>19</v>
      </c>
    </row>
    <row r="11" spans="1:21">
      <c r="A11" s="12" t="s">
        <v>33</v>
      </c>
      <c r="B11" s="12"/>
      <c r="G11">
        <v>1022</v>
      </c>
      <c r="H11">
        <v>-3811</v>
      </c>
      <c r="K11">
        <v>80</v>
      </c>
      <c r="O11">
        <f>SUM(G11:K11)</f>
        <v>-2709</v>
      </c>
      <c r="P11">
        <f>+I11+J11+L11</f>
        <v>0</v>
      </c>
      <c r="R11" s="12" t="s">
        <v>119</v>
      </c>
      <c r="S11" s="12" t="s">
        <v>83</v>
      </c>
      <c r="T11" s="12"/>
    </row>
    <row r="12" spans="1:21">
      <c r="A12" t="s">
        <v>34</v>
      </c>
      <c r="B12" s="51">
        <v>2</v>
      </c>
      <c r="C12" s="18">
        <f>+'[8]KLSE Balance Sheet'!C12</f>
        <v>144966</v>
      </c>
      <c r="D12" s="18">
        <v>171134</v>
      </c>
      <c r="E12" s="27"/>
      <c r="F12" s="18">
        <f>+C12-D12</f>
        <v>-26168</v>
      </c>
      <c r="G12" s="36">
        <f t="shared" ref="G12:P12" si="0">SUM(G9:G11)</f>
        <v>7444</v>
      </c>
      <c r="H12" s="36">
        <f t="shared" si="0"/>
        <v>-17503</v>
      </c>
      <c r="I12" s="36">
        <f t="shared" si="0"/>
        <v>-3050</v>
      </c>
      <c r="J12" s="36">
        <f t="shared" si="0"/>
        <v>2857</v>
      </c>
      <c r="K12" s="36">
        <f t="shared" si="0"/>
        <v>80</v>
      </c>
      <c r="L12" s="36">
        <f t="shared" si="0"/>
        <v>62</v>
      </c>
      <c r="M12" s="36">
        <f t="shared" si="0"/>
        <v>0</v>
      </c>
      <c r="N12" s="36">
        <f t="shared" si="0"/>
        <v>0</v>
      </c>
      <c r="O12" s="36">
        <f t="shared" si="0"/>
        <v>-10172</v>
      </c>
      <c r="P12" s="36">
        <f t="shared" si="0"/>
        <v>-131</v>
      </c>
      <c r="R12" s="12"/>
      <c r="S12" s="78" t="s">
        <v>5</v>
      </c>
      <c r="T12" s="78"/>
    </row>
    <row r="13" spans="1:21">
      <c r="A13" t="s">
        <v>120</v>
      </c>
      <c r="C13" s="92" t="s">
        <v>7</v>
      </c>
      <c r="D13" s="92" t="s">
        <v>7</v>
      </c>
      <c r="F13" s="92"/>
      <c r="R13" s="12" t="s">
        <v>62</v>
      </c>
      <c r="S13" s="20"/>
      <c r="T13" s="20"/>
    </row>
    <row r="14" spans="1:21">
      <c r="C14" s="18">
        <f>SUM(C12:C13)</f>
        <v>144966</v>
      </c>
      <c r="D14" s="18">
        <f>SUM(D12:D13)</f>
        <v>171134</v>
      </c>
      <c r="F14" s="18">
        <f>SUM(F12:F13)</f>
        <v>-26168</v>
      </c>
      <c r="R14" t="s">
        <v>89</v>
      </c>
      <c r="S14" s="13">
        <f>+'[8]KLSE Income statements'!E23</f>
        <v>-4512</v>
      </c>
      <c r="T14" s="13"/>
      <c r="U14">
        <v>-6718</v>
      </c>
    </row>
    <row r="15" spans="1:21">
      <c r="A15" s="12" t="s">
        <v>35</v>
      </c>
      <c r="B15" s="12"/>
      <c r="C15" s="18"/>
      <c r="D15" s="18"/>
      <c r="F15" s="18"/>
      <c r="R15" t="s">
        <v>121</v>
      </c>
      <c r="S15" s="13">
        <f>-L12-(+I12+J12)</f>
        <v>131</v>
      </c>
      <c r="T15" s="13"/>
      <c r="U15">
        <v>91</v>
      </c>
    </row>
    <row r="16" spans="1:21">
      <c r="A16" t="s">
        <v>1</v>
      </c>
      <c r="C16" s="18">
        <f>+'[8]KLSE Balance Sheet'!C15</f>
        <v>36779</v>
      </c>
      <c r="D16" s="18">
        <v>39304</v>
      </c>
      <c r="F16" s="18">
        <f>+C16-D16</f>
        <v>-2525</v>
      </c>
      <c r="P16" s="27"/>
      <c r="R16" t="s">
        <v>122</v>
      </c>
      <c r="S16" s="13">
        <f>-H12-K12</f>
        <v>17423</v>
      </c>
      <c r="T16" s="13"/>
      <c r="U16">
        <v>12934</v>
      </c>
    </row>
    <row r="17" spans="1:21">
      <c r="A17" t="s">
        <v>36</v>
      </c>
      <c r="C17" s="18">
        <f>+'[8]KLSE Balance Sheet'!C16</f>
        <v>35532</v>
      </c>
      <c r="D17" s="18">
        <v>31554</v>
      </c>
      <c r="F17" s="18">
        <f>+C17-D17</f>
        <v>3978</v>
      </c>
      <c r="P17" s="27"/>
      <c r="R17" t="s">
        <v>123</v>
      </c>
      <c r="S17" s="13">
        <f>-+F19</f>
        <v>-1453</v>
      </c>
      <c r="T17" s="13"/>
      <c r="U17">
        <v>-2197</v>
      </c>
    </row>
    <row r="18" spans="1:21">
      <c r="R18" t="s">
        <v>124</v>
      </c>
      <c r="S18" s="13">
        <f>+F22-1729-1</f>
        <v>-6241</v>
      </c>
      <c r="T18" s="13"/>
      <c r="U18">
        <v>2971</v>
      </c>
    </row>
    <row r="19" spans="1:21">
      <c r="C19" s="71">
        <f>SUM(C16:C18)</f>
        <v>72311</v>
      </c>
      <c r="D19" s="71">
        <f>SUM(D16:D18)</f>
        <v>70858</v>
      </c>
      <c r="F19" s="71">
        <f>SUM(F16:F18)</f>
        <v>1453</v>
      </c>
      <c r="R19" t="s">
        <v>125</v>
      </c>
      <c r="S19" s="13">
        <f>+F31</f>
        <v>654</v>
      </c>
      <c r="T19" s="13"/>
      <c r="U19">
        <v>452</v>
      </c>
    </row>
    <row r="20" spans="1:21">
      <c r="C20" s="18"/>
      <c r="D20" s="18"/>
      <c r="F20" s="18"/>
      <c r="R20" t="s">
        <v>126</v>
      </c>
      <c r="S20" s="13">
        <f>-946-39</f>
        <v>-985</v>
      </c>
      <c r="T20" s="13"/>
      <c r="U20">
        <v>-446</v>
      </c>
    </row>
    <row r="21" spans="1:21">
      <c r="A21" s="12" t="s">
        <v>38</v>
      </c>
      <c r="B21" s="12"/>
      <c r="C21" s="18"/>
      <c r="D21" s="18"/>
      <c r="F21" s="18"/>
      <c r="R21" t="s">
        <v>127</v>
      </c>
      <c r="S21">
        <v>7996</v>
      </c>
      <c r="U21">
        <v>10817</v>
      </c>
    </row>
    <row r="22" spans="1:21">
      <c r="A22" t="s">
        <v>39</v>
      </c>
      <c r="C22" s="18">
        <f>+'[8]KLSE Balance Sheet'!C22</f>
        <v>33594</v>
      </c>
      <c r="D22" s="18">
        <v>38105</v>
      </c>
      <c r="F22" s="18">
        <f>+C22-D22</f>
        <v>-4511</v>
      </c>
      <c r="P22" s="27"/>
      <c r="R22" s="14" t="s">
        <v>63</v>
      </c>
      <c r="S22" s="82">
        <f>SUM(S14:S21)</f>
        <v>13013</v>
      </c>
      <c r="T22" s="83"/>
      <c r="U22">
        <v>17904</v>
      </c>
    </row>
    <row r="23" spans="1:21">
      <c r="P23" s="27"/>
    </row>
    <row r="24" spans="1:21">
      <c r="A24" t="s">
        <v>16</v>
      </c>
      <c r="C24" s="18">
        <v>0</v>
      </c>
      <c r="D24" s="28"/>
      <c r="F24" s="28"/>
      <c r="R24" s="14" t="s">
        <v>63</v>
      </c>
      <c r="S24" s="61">
        <f>+S22</f>
        <v>13013</v>
      </c>
      <c r="T24" s="61"/>
      <c r="U24">
        <v>17904</v>
      </c>
    </row>
    <row r="25" spans="1:21">
      <c r="C25" s="71">
        <f>SUM(C22:C24)</f>
        <v>33594</v>
      </c>
      <c r="D25" s="71">
        <f>SUM(D22:D24)</f>
        <v>38105</v>
      </c>
      <c r="F25" s="71">
        <f>SUM(F22:F24)</f>
        <v>-4511</v>
      </c>
      <c r="R25" s="14" t="s">
        <v>64</v>
      </c>
      <c r="S25" s="61">
        <v>0</v>
      </c>
      <c r="T25" s="61"/>
      <c r="U25">
        <v>0</v>
      </c>
    </row>
    <row r="26" spans="1:21">
      <c r="C26" s="18"/>
      <c r="D26" s="18"/>
      <c r="F26" s="18"/>
      <c r="R26" s="14" t="s">
        <v>128</v>
      </c>
      <c r="S26" s="61">
        <f>+-S20</f>
        <v>985</v>
      </c>
      <c r="T26" s="61"/>
      <c r="U26">
        <v>446</v>
      </c>
    </row>
    <row r="27" spans="1:21">
      <c r="A27" s="12" t="s">
        <v>41</v>
      </c>
      <c r="B27" s="12"/>
      <c r="C27" s="28">
        <f>+C19-C25</f>
        <v>38717</v>
      </c>
      <c r="D27" s="28">
        <f>+D19-D25</f>
        <v>32753</v>
      </c>
      <c r="F27" s="28">
        <f>+F19-F25</f>
        <v>5964</v>
      </c>
      <c r="P27" s="27"/>
      <c r="R27" s="14" t="s">
        <v>67</v>
      </c>
      <c r="S27" s="61">
        <f>+M34</f>
        <v>-1360</v>
      </c>
      <c r="T27" s="61"/>
      <c r="U27">
        <v>-385</v>
      </c>
    </row>
    <row r="28" spans="1:21">
      <c r="C28" s="18"/>
      <c r="D28" s="18"/>
      <c r="F28" s="18"/>
      <c r="R28" s="14" t="s">
        <v>68</v>
      </c>
      <c r="S28" s="79">
        <f>SUM(S24:S27)</f>
        <v>12638</v>
      </c>
      <c r="T28" s="62"/>
      <c r="U28">
        <v>17965</v>
      </c>
    </row>
    <row r="29" spans="1:21">
      <c r="C29" s="18"/>
      <c r="D29" s="18"/>
      <c r="F29" s="18"/>
      <c r="R29" s="12"/>
      <c r="S29" s="61"/>
      <c r="T29" s="61"/>
    </row>
    <row r="30" spans="1:21">
      <c r="A30" s="12" t="s">
        <v>42</v>
      </c>
      <c r="B30" s="12"/>
      <c r="C30" s="18"/>
      <c r="D30" s="18"/>
      <c r="F30" s="18"/>
      <c r="R30" s="12"/>
      <c r="S30" s="61"/>
      <c r="T30" s="61"/>
    </row>
    <row r="31" spans="1:21">
      <c r="A31" t="s">
        <v>43</v>
      </c>
      <c r="C31" s="18">
        <v>4113</v>
      </c>
      <c r="D31" s="18">
        <v>3459</v>
      </c>
      <c r="F31" s="18">
        <f>+C31-D31</f>
        <v>654</v>
      </c>
      <c r="P31" s="27"/>
      <c r="R31" s="12" t="s">
        <v>69</v>
      </c>
      <c r="S31" s="61"/>
      <c r="T31" s="61"/>
    </row>
    <row r="32" spans="1:21">
      <c r="A32" t="s">
        <v>129</v>
      </c>
      <c r="F32" s="18">
        <f>+C24-D32</f>
        <v>0</v>
      </c>
    </row>
    <row r="33" spans="1:21">
      <c r="C33" s="71">
        <f>SUM(C31:C32)</f>
        <v>4113</v>
      </c>
      <c r="D33" s="71">
        <f>SUM(D31:D32)</f>
        <v>3459</v>
      </c>
      <c r="F33" s="71">
        <f>SUM(F31:F32)</f>
        <v>654</v>
      </c>
      <c r="R33" s="14" t="s">
        <v>71</v>
      </c>
      <c r="S33" s="61">
        <f>+L12</f>
        <v>62</v>
      </c>
      <c r="T33" s="61"/>
      <c r="U33">
        <v>69</v>
      </c>
    </row>
    <row r="34" spans="1:21">
      <c r="A34" t="s">
        <v>40</v>
      </c>
      <c r="C34" s="18">
        <f>9+123</f>
        <v>132</v>
      </c>
      <c r="D34" s="18">
        <v>5</v>
      </c>
      <c r="F34" s="18">
        <f>+C34-D34</f>
        <v>127</v>
      </c>
      <c r="M34">
        <v>-1360</v>
      </c>
      <c r="N34" s="27">
        <v>1487</v>
      </c>
      <c r="O34">
        <f>SUM(G34:N34)</f>
        <v>127</v>
      </c>
      <c r="R34" s="15" t="s">
        <v>130</v>
      </c>
      <c r="S34" s="62">
        <v>8000</v>
      </c>
      <c r="T34" s="62"/>
      <c r="U34">
        <v>0</v>
      </c>
    </row>
    <row r="35" spans="1:21">
      <c r="A35" t="s">
        <v>44</v>
      </c>
      <c r="C35" s="18">
        <f>+'[8]KLSE Balance Sheet'!C33</f>
        <v>20201</v>
      </c>
      <c r="D35" s="18">
        <f>16305+8706-2188-3095</f>
        <v>19728</v>
      </c>
      <c r="F35" s="18">
        <f>+C35-D35</f>
        <v>473</v>
      </c>
      <c r="N35">
        <v>350</v>
      </c>
      <c r="P35" s="27"/>
      <c r="R35" s="14" t="s">
        <v>70</v>
      </c>
      <c r="S35" s="61">
        <f>-+G12+1729</f>
        <v>-5715</v>
      </c>
      <c r="T35" s="61"/>
      <c r="U35">
        <v>-4996</v>
      </c>
    </row>
    <row r="36" spans="1:21">
      <c r="C36" s="18"/>
      <c r="D36" s="18"/>
      <c r="F36" s="93">
        <f>SUM(F34:F35)</f>
        <v>600</v>
      </c>
      <c r="N36" s="84">
        <f>+N34+N35</f>
        <v>1837</v>
      </c>
      <c r="R36" s="14"/>
      <c r="S36" s="62"/>
      <c r="T36" s="62"/>
    </row>
    <row r="37" spans="1:21" ht="13.5" thickBot="1">
      <c r="C37" s="73">
        <f>+C14+C27-C33-C34-C35+C39</f>
        <v>203571</v>
      </c>
      <c r="D37" s="73">
        <f>+D14+D27-D33-D34-D35+D39</f>
        <v>219542</v>
      </c>
      <c r="F37" s="73">
        <f>+F14+F27-F33</f>
        <v>-20858</v>
      </c>
      <c r="R37" s="14" t="s">
        <v>74</v>
      </c>
      <c r="S37" s="79">
        <f>SUM(S33:S36)</f>
        <v>2347</v>
      </c>
      <c r="T37" s="62"/>
      <c r="U37">
        <v>-4927</v>
      </c>
    </row>
    <row r="38" spans="1:21">
      <c r="C38" s="18"/>
      <c r="D38" s="18"/>
      <c r="F38" s="18"/>
      <c r="R38" s="12"/>
      <c r="S38" s="62"/>
      <c r="T38" s="62"/>
    </row>
    <row r="39" spans="1:21">
      <c r="A39" t="s">
        <v>37</v>
      </c>
      <c r="C39" s="28">
        <v>44334</v>
      </c>
      <c r="D39" s="28">
        <v>38847</v>
      </c>
      <c r="F39" s="94">
        <f>+C39-D39</f>
        <v>5487</v>
      </c>
      <c r="R39" s="12" t="s">
        <v>75</v>
      </c>
      <c r="S39" s="62"/>
      <c r="T39" s="62"/>
    </row>
    <row r="40" spans="1:21">
      <c r="C40" s="18"/>
      <c r="D40" s="18"/>
      <c r="F40" s="18"/>
      <c r="R40" s="15" t="s">
        <v>76</v>
      </c>
      <c r="S40" s="62">
        <v>182</v>
      </c>
      <c r="T40" s="62"/>
      <c r="U40">
        <v>28</v>
      </c>
    </row>
    <row r="41" spans="1:21">
      <c r="C41" s="18"/>
      <c r="D41" s="18"/>
      <c r="F41" s="18"/>
      <c r="R41" s="15" t="s">
        <v>77</v>
      </c>
      <c r="S41" s="62">
        <v>-9601</v>
      </c>
      <c r="T41" s="62"/>
      <c r="U41">
        <v>-9601</v>
      </c>
    </row>
    <row r="42" spans="1:21">
      <c r="A42" s="12" t="s">
        <v>45</v>
      </c>
      <c r="B42" s="12"/>
      <c r="C42" s="18"/>
      <c r="D42" s="18"/>
      <c r="F42" s="18"/>
      <c r="R42" s="15"/>
      <c r="S42" s="62"/>
      <c r="T42" s="62"/>
      <c r="U42">
        <v>0</v>
      </c>
    </row>
    <row r="43" spans="1:21">
      <c r="A43" t="s">
        <v>46</v>
      </c>
      <c r="C43" s="18">
        <v>132463</v>
      </c>
      <c r="D43" s="18">
        <v>132293</v>
      </c>
      <c r="F43" s="18">
        <f>+C43-D43</f>
        <v>170</v>
      </c>
      <c r="R43" s="15" t="s">
        <v>78</v>
      </c>
      <c r="S43" s="62">
        <v>-79</v>
      </c>
      <c r="T43" s="62"/>
      <c r="U43">
        <v>-79</v>
      </c>
    </row>
    <row r="44" spans="1:21">
      <c r="A44" t="s">
        <v>47</v>
      </c>
      <c r="C44" s="74">
        <f>+'[8]KLSE Balance Sheet'!C40</f>
        <v>56836</v>
      </c>
      <c r="D44" s="28">
        <f>74580-6518+3095</f>
        <v>71157</v>
      </c>
      <c r="F44" s="28">
        <f>+C44-D44</f>
        <v>-14321</v>
      </c>
      <c r="P44" s="27"/>
      <c r="R44" s="12" t="s">
        <v>79</v>
      </c>
      <c r="S44" s="79">
        <f>SUM(S40:S43)</f>
        <v>-9498</v>
      </c>
      <c r="T44" s="62"/>
      <c r="U44">
        <v>-9652</v>
      </c>
    </row>
    <row r="45" spans="1:21">
      <c r="A45" t="s">
        <v>48</v>
      </c>
      <c r="C45" s="18">
        <f>+C43+C44</f>
        <v>189299</v>
      </c>
      <c r="D45" s="18">
        <f>+D43+D44</f>
        <v>203450</v>
      </c>
      <c r="F45" s="18">
        <f>+F43+F44</f>
        <v>-14151</v>
      </c>
      <c r="P45">
        <f>SUM(P33:P44)</f>
        <v>0</v>
      </c>
      <c r="R45" s="12"/>
      <c r="S45" s="62"/>
      <c r="T45" s="62"/>
    </row>
    <row r="46" spans="1:21">
      <c r="A46" s="12" t="s">
        <v>23</v>
      </c>
      <c r="B46" s="12"/>
      <c r="C46" s="18">
        <v>14272</v>
      </c>
      <c r="D46" s="18">
        <v>16092</v>
      </c>
      <c r="F46" s="18">
        <f>+C46-D46</f>
        <v>-1820</v>
      </c>
      <c r="R46" s="12" t="s">
        <v>80</v>
      </c>
      <c r="S46" s="62">
        <f>S28+S37+S44</f>
        <v>5487</v>
      </c>
      <c r="T46" s="62"/>
      <c r="U46">
        <v>3386</v>
      </c>
    </row>
    <row r="47" spans="1:21" ht="22.5" customHeight="1" thickBot="1">
      <c r="C47" s="75">
        <f>+C45+C46</f>
        <v>203571</v>
      </c>
      <c r="D47" s="75">
        <f>+D45+D46</f>
        <v>219542</v>
      </c>
      <c r="F47" s="75">
        <f>+F45+F46</f>
        <v>-15971</v>
      </c>
      <c r="R47" s="12"/>
      <c r="S47" s="61"/>
      <c r="T47" s="61"/>
    </row>
    <row r="48" spans="1:21">
      <c r="C48" s="27">
        <f>+C37-C47</f>
        <v>0</v>
      </c>
      <c r="D48" s="27">
        <f>+D37-D47</f>
        <v>0</v>
      </c>
      <c r="F48" s="27"/>
      <c r="R48" s="12" t="s">
        <v>81</v>
      </c>
      <c r="S48" s="61">
        <f>+D39</f>
        <v>38847</v>
      </c>
      <c r="T48" s="61"/>
      <c r="U48">
        <v>38847</v>
      </c>
    </row>
    <row r="49" spans="18:21">
      <c r="R49" s="12"/>
      <c r="S49" s="61"/>
      <c r="T49" s="61"/>
    </row>
    <row r="50" spans="18:21" ht="13.5" thickBot="1">
      <c r="R50" s="12" t="s">
        <v>131</v>
      </c>
      <c r="S50" s="81">
        <f>SUM(S46:S49)</f>
        <v>44334</v>
      </c>
      <c r="T50" s="62"/>
      <c r="U50">
        <v>42233</v>
      </c>
    </row>
    <row r="52" spans="18:21">
      <c r="S52" s="27">
        <f>+C39</f>
        <v>44334</v>
      </c>
      <c r="T52" s="27"/>
      <c r="U52">
        <v>42233</v>
      </c>
    </row>
    <row r="53" spans="18:21">
      <c r="S53" s="27">
        <f>+S50-S52</f>
        <v>0</v>
      </c>
      <c r="T53" s="27"/>
      <c r="U53">
        <v>0</v>
      </c>
    </row>
  </sheetData>
  <phoneticPr fontId="0" type="noConversion"/>
  <pageMargins left="0.37" right="0.18" top="0.3" bottom="0.48" header="0.17" footer="0.23"/>
  <pageSetup paperSize="9" scale="55" orientation="landscape" blackAndWhite="1" horizontalDpi="1200" verticalDpi="1200" r:id="rId1"/>
  <headerFooter alignWithMargins="0">
    <oddFooter>&amp;L&amp;D&amp;F&amp;A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KLSE Income statements</vt:lpstr>
      <vt:lpstr>KLSE Balance Sheet</vt:lpstr>
      <vt:lpstr>KLSE-changes in equity</vt:lpstr>
      <vt:lpstr>KLSE cashflow</vt:lpstr>
      <vt:lpstr>ESOS movement</vt:lpstr>
      <vt:lpstr>coated scrap sale</vt:lpstr>
      <vt:lpstr>Cont&amp;disconOp2003</vt:lpstr>
      <vt:lpstr>Disc ope </vt:lpstr>
      <vt:lpstr>CashFlow workingsDec 03</vt:lpstr>
      <vt:lpstr>ANRE0610</vt:lpstr>
      <vt:lpstr>ANRE0610!Print_Area</vt:lpstr>
      <vt:lpstr>'CashFlow workingsDec 03'!Print_Area</vt:lpstr>
      <vt:lpstr>'coated scrap sale'!Print_Area</vt:lpstr>
      <vt:lpstr>'Cont&amp;disconOp2003'!Print_Area</vt:lpstr>
      <vt:lpstr>'Disc ope '!Print_Area</vt:lpstr>
      <vt:lpstr>'KLSE Balance Sheet'!Print_Area</vt:lpstr>
      <vt:lpstr>'KLSE cashflow'!Print_Area</vt:lpstr>
      <vt:lpstr>'KLSE Income statements'!Print_Area</vt:lpstr>
      <vt:lpstr>'KLSE-changes in equity'!Print_Area</vt:lpstr>
      <vt:lpstr>ANRE0610!Print_Area_MI</vt:lpstr>
      <vt:lpstr>'KLSE Income statements'!Print_Titles</vt:lpstr>
    </vt:vector>
  </TitlesOfParts>
  <Company>Aluminium Company of Malaysia Bhd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alcheng</dc:creator>
  <cp:lastModifiedBy>AhmadrafieN</cp:lastModifiedBy>
  <cp:lastPrinted>2011-02-10T07:16:10Z</cp:lastPrinted>
  <dcterms:created xsi:type="dcterms:W3CDTF">2004-05-05T03:54:38Z</dcterms:created>
  <dcterms:modified xsi:type="dcterms:W3CDTF">2011-02-10T07:30:24Z</dcterms:modified>
</cp:coreProperties>
</file>